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0095" activeTab="0"/>
  </bookViews>
  <sheets>
    <sheet name="FY 24-25" sheetId="1" r:id="rId1"/>
    <sheet name="FY 23-24" sheetId="2" r:id="rId2"/>
    <sheet name="FY 22-23" sheetId="3" r:id="rId3"/>
    <sheet name="FY 21-22" sheetId="4" r:id="rId4"/>
    <sheet name="FY 20-21" sheetId="5" r:id="rId5"/>
    <sheet name="FY 19-20" sheetId="6" r:id="rId6"/>
    <sheet name="FY 18-19" sheetId="7" r:id="rId7"/>
    <sheet name="FY 17-18" sheetId="8" r:id="rId8"/>
    <sheet name="FY 16-17" sheetId="9" r:id="rId9"/>
    <sheet name="FY 15-16" sheetId="10" r:id="rId10"/>
    <sheet name="FY 14-15" sheetId="11" r:id="rId11"/>
    <sheet name="FY 13-14" sheetId="12" r:id="rId12"/>
    <sheet name="FY 12-13" sheetId="13" r:id="rId13"/>
    <sheet name="FY 11-12" sheetId="14" r:id="rId14"/>
  </sheets>
  <definedNames>
    <definedName name="_xlfn.IFERROR" hidden="1">#NAME?</definedName>
    <definedName name="_xlnm.Print_Area" localSheetId="13">'FY 11-12'!$A$1:$G$67</definedName>
    <definedName name="_xlnm.Print_Area" localSheetId="12">'FY 12-13'!$A$1:$G$67</definedName>
    <definedName name="_xlnm.Print_Area" localSheetId="11">'FY 13-14'!$A$1:$G$67</definedName>
    <definedName name="_xlnm.Print_Area" localSheetId="10">'FY 14-15'!$A$1:$G$67</definedName>
    <definedName name="_xlnm.Print_Area" localSheetId="9">'FY 15-16'!$A$1:$G$68</definedName>
    <definedName name="_xlnm.Print_Area" localSheetId="8">'FY 16-17'!$A$1:$G$67</definedName>
    <definedName name="_xlnm.Print_Area" localSheetId="7">'FY 17-18'!$A$1:$G$66</definedName>
    <definedName name="_xlnm.Print_Area" localSheetId="6">'FY 18-19'!$A$1:$G$66</definedName>
    <definedName name="_xlnm.Print_Area" localSheetId="5">'FY 19-20'!$A$1:$G$66</definedName>
    <definedName name="_xlnm.Print_Area" localSheetId="4">'FY 20-21'!$A$1:$G$67</definedName>
    <definedName name="_xlnm.Print_Area" localSheetId="3">'FY 21-22'!$A$1:$G$66</definedName>
    <definedName name="_xlnm.Print_Area" localSheetId="2">'FY 22-23'!$A$1:$G$66</definedName>
    <definedName name="_xlnm.Print_Area" localSheetId="1">'FY 23-24'!$A$1:$G$67</definedName>
    <definedName name="_xlnm.Print_Area" localSheetId="0">'FY 24-25'!$A$1:$G$67</definedName>
  </definedNames>
  <calcPr fullCalcOnLoad="1"/>
</workbook>
</file>

<file path=xl/sharedStrings.xml><?xml version="1.0" encoding="utf-8"?>
<sst xmlns="http://schemas.openxmlformats.org/spreadsheetml/2006/main" count="266" uniqueCount="31">
  <si>
    <t>Credits</t>
  </si>
  <si>
    <t>Avg Daily</t>
  </si>
  <si>
    <t>Win/VGM</t>
  </si>
  <si>
    <t>Played</t>
  </si>
  <si>
    <t>Won</t>
  </si>
  <si>
    <t>Net Win</t>
  </si>
  <si>
    <t>VGM's</t>
  </si>
  <si>
    <t>per Day</t>
  </si>
  <si>
    <t>Total</t>
  </si>
  <si>
    <t>Week-Ending</t>
  </si>
  <si>
    <t>Fiscal Year 2011/2012</t>
  </si>
  <si>
    <t>Free Play</t>
  </si>
  <si>
    <t>110-00 Rockaway Blvd.</t>
  </si>
  <si>
    <t>Jamaica, NY  11420</t>
  </si>
  <si>
    <t>www.rwnewyork.com</t>
  </si>
  <si>
    <t xml:space="preserve">       (888) 888-8801</t>
  </si>
  <si>
    <t>Resorts World Casino New York City</t>
  </si>
  <si>
    <t>Fiscal Year 2012/2013</t>
  </si>
  <si>
    <t>Allowance</t>
  </si>
  <si>
    <t>Fiscal Year 2013/2014</t>
  </si>
  <si>
    <t>Fiscal Year 2014/2015</t>
  </si>
  <si>
    <t>Fiscal Year 2015/2016</t>
  </si>
  <si>
    <t>Fiscal Year 2016/2017</t>
  </si>
  <si>
    <t>Fiscal Year 2017/2018</t>
  </si>
  <si>
    <t>Fiscal Year 2018/2019</t>
  </si>
  <si>
    <t>Fiscal Year 2019/2020</t>
  </si>
  <si>
    <t>Fiscal Year 2020/2021</t>
  </si>
  <si>
    <t>Fiscal Year 2021/2022</t>
  </si>
  <si>
    <t>Fiscal Year 2022/2023</t>
  </si>
  <si>
    <t>Fiscal Year 2023/2024</t>
  </si>
  <si>
    <t>Fiscal Year 2024/2025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</si>
</sst>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0%_);[Red]\(0.00%\)"/>
    <numFmt numFmtId="166" formatCode="mm/dd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$&quot;#,##0.0_);\(&quot;$&quot;#,##0.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 val="single"/>
      <sz val="11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2"/>
      <color indexed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 vertical="top"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6" fontId="0" fillId="0" borderId="0" xfId="0" applyNumberFormat="1" applyAlignment="1">
      <alignment horizontal="left"/>
    </xf>
    <xf numFmtId="6" fontId="0" fillId="0" borderId="0" xfId="0" applyNumberFormat="1" applyAlignment="1">
      <alignment horizontal="center"/>
    </xf>
    <xf numFmtId="38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6" fontId="9" fillId="0" borderId="10" xfId="0" applyNumberFormat="1" applyFont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6" fontId="9" fillId="0" borderId="0" xfId="0" applyNumberFormat="1" applyFont="1" applyAlignment="1">
      <alignment horizontal="center"/>
    </xf>
    <xf numFmtId="38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38" fontId="9" fillId="0" borderId="10" xfId="0" applyNumberFormat="1" applyFont="1" applyBorder="1" applyAlignment="1">
      <alignment horizontal="center"/>
    </xf>
    <xf numFmtId="6" fontId="0" fillId="0" borderId="0" xfId="0" applyNumberFormat="1" applyAlignment="1">
      <alignment/>
    </xf>
    <xf numFmtId="38" fontId="0" fillId="0" borderId="0" xfId="0" applyNumberFormat="1" applyAlignment="1">
      <alignment/>
    </xf>
    <xf numFmtId="6" fontId="0" fillId="0" borderId="11" xfId="0" applyNumberFormat="1" applyBorder="1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38" fontId="0" fillId="0" borderId="11" xfId="0" applyNumberFormat="1" applyBorder="1" applyAlignment="1">
      <alignment/>
    </xf>
    <xf numFmtId="6" fontId="7" fillId="0" borderId="0" xfId="53" applyNumberFormat="1" applyFont="1" applyAlignment="1" applyProtection="1">
      <alignment horizontal="center"/>
      <protection/>
    </xf>
    <xf numFmtId="6" fontId="3" fillId="0" borderId="0" xfId="53" applyNumberFormat="1" applyAlignment="1" applyProtection="1">
      <alignment horizontal="center"/>
      <protection/>
    </xf>
    <xf numFmtId="38" fontId="0" fillId="0" borderId="0" xfId="0" applyNumberFormat="1" applyFont="1" applyAlignment="1">
      <alignment/>
    </xf>
    <xf numFmtId="6" fontId="0" fillId="0" borderId="0" xfId="0" applyNumberFormat="1" applyBorder="1" applyAlignment="1">
      <alignment/>
    </xf>
    <xf numFmtId="38" fontId="0" fillId="0" borderId="0" xfId="0" applyNumberFormat="1" applyBorder="1" applyAlignment="1">
      <alignment/>
    </xf>
    <xf numFmtId="5" fontId="47" fillId="0" borderId="0" xfId="0" applyNumberFormat="1" applyFont="1" applyBorder="1" applyAlignment="1">
      <alignment/>
    </xf>
    <xf numFmtId="6" fontId="5" fillId="0" borderId="0" xfId="0" applyNumberFormat="1" applyFont="1" applyAlignment="1">
      <alignment horizontal="center"/>
    </xf>
    <xf numFmtId="6" fontId="6" fillId="0" borderId="0" xfId="0" applyNumberFormat="1" applyFont="1" applyAlignment="1">
      <alignment horizontal="center"/>
    </xf>
    <xf numFmtId="6" fontId="10" fillId="0" borderId="0" xfId="53" applyNumberFormat="1" applyFont="1" applyAlignment="1" applyProtection="1">
      <alignment horizontal="center"/>
      <protection/>
    </xf>
    <xf numFmtId="0" fontId="11" fillId="0" borderId="0" xfId="0" applyFont="1" applyAlignment="1">
      <alignment horizontal="center" vertical="center"/>
    </xf>
    <xf numFmtId="164" fontId="8" fillId="33" borderId="12" xfId="0" applyNumberFormat="1" applyFont="1" applyFill="1" applyBorder="1" applyAlignment="1">
      <alignment horizontal="center"/>
    </xf>
    <xf numFmtId="164" fontId="8" fillId="33" borderId="13" xfId="0" applyNumberFormat="1" applyFont="1" applyFill="1" applyBorder="1" applyAlignment="1">
      <alignment horizontal="center"/>
    </xf>
    <xf numFmtId="164" fontId="8" fillId="33" borderId="14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76200</xdr:rowOff>
    </xdr:from>
    <xdr:to>
      <xdr:col>1</xdr:col>
      <xdr:colOff>304800</xdr:colOff>
      <xdr:row>4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1228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76200</xdr:rowOff>
    </xdr:from>
    <xdr:to>
      <xdr:col>1</xdr:col>
      <xdr:colOff>381000</xdr:colOff>
      <xdr:row>5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1304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76200</xdr:rowOff>
    </xdr:from>
    <xdr:to>
      <xdr:col>1</xdr:col>
      <xdr:colOff>381000</xdr:colOff>
      <xdr:row>5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1304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1</xdr:col>
      <xdr:colOff>323850</xdr:colOff>
      <xdr:row>5</xdr:row>
      <xdr:rowOff>19050</xdr:rowOff>
    </xdr:to>
    <xdr:pic>
      <xdr:nvPicPr>
        <xdr:cNvPr id="1" name="Picture 1" descr="RWNY_LOGO_4C_HORI (4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285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1</xdr:col>
      <xdr:colOff>323850</xdr:colOff>
      <xdr:row>5</xdr:row>
      <xdr:rowOff>19050</xdr:rowOff>
    </xdr:to>
    <xdr:pic>
      <xdr:nvPicPr>
        <xdr:cNvPr id="1" name="Picture 1" descr="RWNY_LOGO_4C_HORI (4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285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1</xdr:col>
      <xdr:colOff>323850</xdr:colOff>
      <xdr:row>5</xdr:row>
      <xdr:rowOff>19050</xdr:rowOff>
    </xdr:to>
    <xdr:pic>
      <xdr:nvPicPr>
        <xdr:cNvPr id="1" name="Picture 1" descr="RWNY_LOGO_4C_HORI (4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285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76200</xdr:rowOff>
    </xdr:from>
    <xdr:to>
      <xdr:col>1</xdr:col>
      <xdr:colOff>304800</xdr:colOff>
      <xdr:row>4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1228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76200</xdr:rowOff>
    </xdr:from>
    <xdr:to>
      <xdr:col>1</xdr:col>
      <xdr:colOff>304800</xdr:colOff>
      <xdr:row>4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1228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76200</xdr:rowOff>
    </xdr:from>
    <xdr:to>
      <xdr:col>1</xdr:col>
      <xdr:colOff>304800</xdr:colOff>
      <xdr:row>4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1228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76200</xdr:rowOff>
    </xdr:from>
    <xdr:to>
      <xdr:col>1</xdr:col>
      <xdr:colOff>304800</xdr:colOff>
      <xdr:row>4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1228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76200</xdr:rowOff>
    </xdr:from>
    <xdr:to>
      <xdr:col>1</xdr:col>
      <xdr:colOff>304800</xdr:colOff>
      <xdr:row>4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1228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76200</xdr:rowOff>
    </xdr:from>
    <xdr:to>
      <xdr:col>1</xdr:col>
      <xdr:colOff>304800</xdr:colOff>
      <xdr:row>4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1228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76200</xdr:rowOff>
    </xdr:from>
    <xdr:to>
      <xdr:col>1</xdr:col>
      <xdr:colOff>304800</xdr:colOff>
      <xdr:row>4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1228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76200</xdr:rowOff>
    </xdr:from>
    <xdr:to>
      <xdr:col>1</xdr:col>
      <xdr:colOff>304800</xdr:colOff>
      <xdr:row>4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1228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wnewyork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rwnewyork.com/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rwnewyork.com/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rwnewyork.com/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rwnewyork.com/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rwnewyork.com/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rwnewyork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rwnewyork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rwnewyork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rwnewyork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rwnewyork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rwnewyork.com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rwnewyork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rwnewyork.com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tabSelected="1" zoomScale="160" zoomScaleNormal="160" zoomScalePageLayoutView="0" workbookViewId="0" topLeftCell="A1">
      <pane ySplit="10" topLeftCell="A60" activePane="bottomLeft" state="frozen"/>
      <selection pane="topLeft" activeCell="A1" sqref="A1"/>
      <selection pane="bottomLeft" activeCell="G67" sqref="G67"/>
    </sheetView>
  </sheetViews>
  <sheetFormatPr defaultColWidth="9.140625" defaultRowHeight="12.75"/>
  <cols>
    <col min="1" max="1" width="15.7109375" style="2" customWidth="1"/>
    <col min="2" max="3" width="16.28125" style="14" customWidth="1"/>
    <col min="4" max="4" width="15.7109375" style="14" customWidth="1"/>
    <col min="5" max="5" width="15.00390625" style="14" customWidth="1"/>
    <col min="6" max="6" width="10.140625" style="15" customWidth="1"/>
    <col min="7" max="7" width="11.57421875" style="14" customWidth="1"/>
    <col min="9" max="9" width="17.00390625" style="0" bestFit="1" customWidth="1"/>
  </cols>
  <sheetData>
    <row r="1" spans="1:7" ht="26.25" customHeight="1">
      <c r="A1" s="28" t="s">
        <v>16</v>
      </c>
      <c r="B1" s="28"/>
      <c r="C1" s="28"/>
      <c r="D1" s="28"/>
      <c r="E1" s="28"/>
      <c r="F1" s="28"/>
      <c r="G1" s="28"/>
    </row>
    <row r="2" spans="1:7" ht="15">
      <c r="A2" s="29" t="s">
        <v>12</v>
      </c>
      <c r="B2" s="29"/>
      <c r="C2" s="29"/>
      <c r="D2" s="29"/>
      <c r="E2" s="29"/>
      <c r="F2" s="29"/>
      <c r="G2" s="29"/>
    </row>
    <row r="3" spans="1:7" s="1" customFormat="1" ht="15">
      <c r="A3" s="29" t="s">
        <v>13</v>
      </c>
      <c r="B3" s="29"/>
      <c r="C3" s="29"/>
      <c r="D3" s="29"/>
      <c r="E3" s="29"/>
      <c r="F3" s="29"/>
      <c r="G3" s="29"/>
    </row>
    <row r="4" spans="1:7" s="1" customFormat="1" ht="15">
      <c r="A4" s="30" t="s">
        <v>14</v>
      </c>
      <c r="B4" s="30"/>
      <c r="C4" s="30"/>
      <c r="D4" s="30"/>
      <c r="E4" s="30"/>
      <c r="F4" s="30"/>
      <c r="G4" s="30"/>
    </row>
    <row r="5" spans="1:7" s="1" customFormat="1" ht="14.25">
      <c r="A5" s="23"/>
      <c r="B5" s="22"/>
      <c r="C5" s="31" t="s">
        <v>15</v>
      </c>
      <c r="D5" s="31"/>
      <c r="E5" s="22"/>
      <c r="F5" s="22"/>
      <c r="G5" s="22"/>
    </row>
    <row r="6" spans="1:7" s="6" customFormat="1" ht="8.25" customHeight="1">
      <c r="A6" s="2"/>
      <c r="B6" s="3"/>
      <c r="C6" s="3"/>
      <c r="D6" s="3"/>
      <c r="E6" s="4"/>
      <c r="F6" s="5"/>
      <c r="G6" s="4"/>
    </row>
    <row r="7" spans="1:7" s="1" customFormat="1" ht="12" customHeight="1">
      <c r="A7" s="32" t="s">
        <v>30</v>
      </c>
      <c r="B7" s="33"/>
      <c r="C7" s="33"/>
      <c r="D7" s="33"/>
      <c r="E7" s="33"/>
      <c r="F7" s="33"/>
      <c r="G7" s="34"/>
    </row>
    <row r="8" spans="1:7" s="11" customFormat="1" ht="12.75">
      <c r="A8" s="2"/>
      <c r="B8" s="3"/>
      <c r="C8" s="3"/>
      <c r="D8" s="3"/>
      <c r="E8" s="4"/>
      <c r="F8" s="5"/>
      <c r="G8" s="4"/>
    </row>
    <row r="9" spans="1:7" s="11" customFormat="1" ht="12">
      <c r="A9" s="8"/>
      <c r="B9" s="9" t="s">
        <v>0</v>
      </c>
      <c r="C9" s="9" t="s">
        <v>11</v>
      </c>
      <c r="D9" s="9" t="s">
        <v>0</v>
      </c>
      <c r="E9" s="9"/>
      <c r="F9" s="10" t="s">
        <v>1</v>
      </c>
      <c r="G9" s="9" t="s">
        <v>2</v>
      </c>
    </row>
    <row r="10" spans="1:7" ht="12.75">
      <c r="A10" s="12" t="s">
        <v>9</v>
      </c>
      <c r="B10" s="7" t="s">
        <v>3</v>
      </c>
      <c r="C10" s="7" t="s">
        <v>18</v>
      </c>
      <c r="D10" s="7" t="s">
        <v>4</v>
      </c>
      <c r="E10" s="7" t="s">
        <v>5</v>
      </c>
      <c r="F10" s="13" t="s">
        <v>6</v>
      </c>
      <c r="G10" s="7" t="s">
        <v>7</v>
      </c>
    </row>
    <row r="12" spans="1:7" ht="12.75">
      <c r="A12" s="20">
        <v>45381</v>
      </c>
      <c r="B12" s="14">
        <v>176182190.14</v>
      </c>
      <c r="C12" s="14">
        <v>557540.44</v>
      </c>
      <c r="D12" s="14">
        <f aca="true" t="shared" si="0" ref="D12:D63">IF(ISBLANK(B12),"",B12-C12-E12)</f>
        <v>162199055.01</v>
      </c>
      <c r="E12" s="14">
        <v>13425594.689999998</v>
      </c>
      <c r="F12" s="15">
        <v>4929</v>
      </c>
      <c r="G12" s="14">
        <f aca="true" t="shared" si="1" ref="G12:G35">IF(ISBLANK(B12),"",E12/F12/7)</f>
        <v>389.1138361881575</v>
      </c>
    </row>
    <row r="13" spans="1:7" ht="12.75">
      <c r="A13" s="20">
        <f aca="true" t="shared" si="2" ref="A13:A63">+A12+7</f>
        <v>45388</v>
      </c>
      <c r="B13" s="14">
        <v>181536639.60999998</v>
      </c>
      <c r="C13" s="14">
        <v>556533.27</v>
      </c>
      <c r="D13" s="14">
        <f t="shared" si="0"/>
        <v>166723411.93999997</v>
      </c>
      <c r="E13" s="14">
        <v>14256694.399999993</v>
      </c>
      <c r="F13" s="15">
        <v>4795</v>
      </c>
      <c r="G13" s="14">
        <f t="shared" si="1"/>
        <v>424.74882764784724</v>
      </c>
    </row>
    <row r="14" spans="1:7" ht="12.75">
      <c r="A14" s="20">
        <f t="shared" si="2"/>
        <v>45395</v>
      </c>
      <c r="B14" s="14">
        <v>181984854.99000004</v>
      </c>
      <c r="C14" s="14">
        <v>573684.6</v>
      </c>
      <c r="D14" s="14">
        <f t="shared" si="0"/>
        <v>167646001.53000003</v>
      </c>
      <c r="E14" s="14">
        <v>13765168.860000005</v>
      </c>
      <c r="F14" s="15">
        <v>4785</v>
      </c>
      <c r="G14" s="14">
        <f t="shared" si="1"/>
        <v>410.96190058217655</v>
      </c>
    </row>
    <row r="15" spans="1:7" ht="12.75">
      <c r="A15" s="20">
        <f t="shared" si="2"/>
        <v>45402</v>
      </c>
      <c r="B15" s="14">
        <v>180088514.28</v>
      </c>
      <c r="C15" s="14">
        <v>552607.08</v>
      </c>
      <c r="D15" s="14">
        <f t="shared" si="0"/>
        <v>165388935.90999997</v>
      </c>
      <c r="E15" s="14">
        <v>14146971.29000001</v>
      </c>
      <c r="F15" s="15">
        <v>4785</v>
      </c>
      <c r="G15" s="14">
        <f t="shared" si="1"/>
        <v>422.3606893566207</v>
      </c>
    </row>
    <row r="16" spans="1:7" ht="12.75">
      <c r="A16" s="20">
        <f t="shared" si="2"/>
        <v>45409</v>
      </c>
      <c r="B16" s="14">
        <v>183387620.70000002</v>
      </c>
      <c r="C16" s="14">
        <v>578692.48</v>
      </c>
      <c r="D16" s="14">
        <f t="shared" si="0"/>
        <v>169393954.24</v>
      </c>
      <c r="E16" s="14">
        <v>13414973.980000008</v>
      </c>
      <c r="F16" s="15">
        <v>4839</v>
      </c>
      <c r="G16" s="14">
        <f t="shared" si="1"/>
        <v>396.0373743099226</v>
      </c>
    </row>
    <row r="17" spans="1:7" ht="12.75">
      <c r="A17" s="20">
        <f t="shared" si="2"/>
        <v>45416</v>
      </c>
      <c r="B17" s="14">
        <v>186299574.17999998</v>
      </c>
      <c r="C17" s="14">
        <v>580083.6799999999</v>
      </c>
      <c r="D17" s="14">
        <f t="shared" si="0"/>
        <v>171879635.14999998</v>
      </c>
      <c r="E17" s="14">
        <v>13839855.350000009</v>
      </c>
      <c r="F17" s="15">
        <v>4907</v>
      </c>
      <c r="G17" s="14">
        <f t="shared" si="1"/>
        <v>402.91872689161283</v>
      </c>
    </row>
    <row r="18" spans="1:7" ht="12.75">
      <c r="A18" s="20">
        <f t="shared" si="2"/>
        <v>45423</v>
      </c>
      <c r="B18" s="14">
        <v>184035696.41000003</v>
      </c>
      <c r="C18" s="14">
        <v>585430.66</v>
      </c>
      <c r="D18" s="14">
        <f t="shared" si="0"/>
        <v>169666215.16000003</v>
      </c>
      <c r="E18" s="14">
        <v>13784050.590000005</v>
      </c>
      <c r="F18" s="15">
        <v>4822</v>
      </c>
      <c r="G18" s="14">
        <f t="shared" si="1"/>
        <v>408.36791461752694</v>
      </c>
    </row>
    <row r="19" spans="1:7" ht="12.75">
      <c r="A19" s="20">
        <f t="shared" si="2"/>
        <v>45430</v>
      </c>
      <c r="B19" s="14">
        <v>179276514.51999998</v>
      </c>
      <c r="C19" s="14">
        <v>521343.76</v>
      </c>
      <c r="D19" s="14">
        <f t="shared" si="0"/>
        <v>164837795.17999998</v>
      </c>
      <c r="E19" s="14">
        <v>13917375.580000004</v>
      </c>
      <c r="F19" s="15">
        <v>4808</v>
      </c>
      <c r="G19" s="14">
        <f t="shared" si="1"/>
        <v>413.5184091989542</v>
      </c>
    </row>
    <row r="20" spans="1:7" ht="12.75">
      <c r="A20" s="20">
        <f t="shared" si="2"/>
        <v>45437</v>
      </c>
      <c r="B20" s="14">
        <v>173343806.57</v>
      </c>
      <c r="C20" s="14">
        <v>519845.92</v>
      </c>
      <c r="D20" s="14">
        <f t="shared" si="0"/>
        <v>159481243.02</v>
      </c>
      <c r="E20" s="14">
        <v>13342717.629999999</v>
      </c>
      <c r="F20" s="15">
        <v>4847</v>
      </c>
      <c r="G20" s="14">
        <f t="shared" si="1"/>
        <v>393.25407851690295</v>
      </c>
    </row>
    <row r="21" spans="1:7" ht="12.75">
      <c r="A21" s="20">
        <f t="shared" si="2"/>
        <v>45444</v>
      </c>
      <c r="B21" s="14">
        <v>183332991.57000002</v>
      </c>
      <c r="C21" s="14">
        <v>547402.74</v>
      </c>
      <c r="D21" s="14">
        <f t="shared" si="0"/>
        <v>168477736.35</v>
      </c>
      <c r="E21" s="14">
        <v>14307852.480000006</v>
      </c>
      <c r="F21" s="15">
        <v>4900</v>
      </c>
      <c r="G21" s="14">
        <f t="shared" si="1"/>
        <v>417.13855626822175</v>
      </c>
    </row>
    <row r="22" spans="1:7" ht="12.75">
      <c r="A22" s="20">
        <f t="shared" si="2"/>
        <v>45451</v>
      </c>
      <c r="B22" s="14">
        <v>171342710.13000003</v>
      </c>
      <c r="C22" s="14">
        <v>548299.87</v>
      </c>
      <c r="D22" s="14">
        <f t="shared" si="0"/>
        <v>157394642.23000002</v>
      </c>
      <c r="E22" s="14">
        <v>13399768.030000005</v>
      </c>
      <c r="F22" s="15">
        <v>4840</v>
      </c>
      <c r="G22" s="14">
        <f t="shared" si="1"/>
        <v>395.50673051948064</v>
      </c>
    </row>
    <row r="23" spans="1:7" ht="12.75">
      <c r="A23" s="20">
        <f t="shared" si="2"/>
        <v>45458</v>
      </c>
      <c r="B23" s="14">
        <v>169604811.82000002</v>
      </c>
      <c r="C23" s="14">
        <v>532385.6699999999</v>
      </c>
      <c r="D23" s="14">
        <f t="shared" si="0"/>
        <v>155971658.67000005</v>
      </c>
      <c r="E23" s="14">
        <v>13100767.480000002</v>
      </c>
      <c r="F23" s="15">
        <v>4826</v>
      </c>
      <c r="G23" s="14">
        <f t="shared" si="1"/>
        <v>387.8031934166125</v>
      </c>
    </row>
    <row r="24" spans="1:7" ht="12.75">
      <c r="A24" s="20">
        <f t="shared" si="2"/>
        <v>45465</v>
      </c>
      <c r="B24" s="14">
        <v>176302829.89</v>
      </c>
      <c r="C24" s="14">
        <v>541580.5</v>
      </c>
      <c r="D24" s="14">
        <f t="shared" si="0"/>
        <v>162549934.06</v>
      </c>
      <c r="E24" s="14">
        <v>13211315.329999996</v>
      </c>
      <c r="F24" s="15">
        <v>4850</v>
      </c>
      <c r="G24" s="14">
        <f t="shared" si="1"/>
        <v>389.14036318114864</v>
      </c>
    </row>
    <row r="25" spans="1:7" ht="12.75">
      <c r="A25" s="20">
        <f t="shared" si="2"/>
        <v>45472</v>
      </c>
      <c r="B25" s="14">
        <v>175144723.92</v>
      </c>
      <c r="C25" s="14">
        <v>535451.4199999999</v>
      </c>
      <c r="D25" s="14">
        <f t="shared" si="0"/>
        <v>161478299.18</v>
      </c>
      <c r="E25" s="14">
        <v>13130973.31999999</v>
      </c>
      <c r="F25" s="15">
        <v>4883</v>
      </c>
      <c r="G25" s="14">
        <f t="shared" si="1"/>
        <v>384.16001053216667</v>
      </c>
    </row>
    <row r="26" spans="1:7" ht="12.75">
      <c r="A26" s="20">
        <f t="shared" si="2"/>
        <v>45479</v>
      </c>
      <c r="B26" s="14">
        <v>197358861.66</v>
      </c>
      <c r="C26" s="14">
        <v>564777.2000000001</v>
      </c>
      <c r="D26" s="14">
        <f t="shared" si="0"/>
        <v>181637679.66</v>
      </c>
      <c r="E26" s="14">
        <v>15156404.800000008</v>
      </c>
      <c r="F26" s="15">
        <v>4883</v>
      </c>
      <c r="G26" s="14">
        <f t="shared" si="1"/>
        <v>443.4160732570729</v>
      </c>
    </row>
    <row r="27" spans="1:7" ht="12.75">
      <c r="A27" s="20">
        <f t="shared" si="2"/>
        <v>45486</v>
      </c>
      <c r="B27" s="14">
        <v>170504825.14999998</v>
      </c>
      <c r="C27" s="14">
        <v>550096.46</v>
      </c>
      <c r="D27" s="14">
        <f t="shared" si="0"/>
        <v>157088130.01999998</v>
      </c>
      <c r="E27" s="14">
        <v>12866598.669999994</v>
      </c>
      <c r="F27" s="15">
        <v>4747</v>
      </c>
      <c r="G27" s="14">
        <f t="shared" si="1"/>
        <v>387.20992717204837</v>
      </c>
    </row>
    <row r="28" spans="1:7" ht="12.75">
      <c r="A28" s="20">
        <f t="shared" si="2"/>
        <v>45493</v>
      </c>
      <c r="B28" s="14">
        <v>166073841.34</v>
      </c>
      <c r="C28" s="14">
        <v>540242.4600000001</v>
      </c>
      <c r="D28" s="14">
        <f t="shared" si="0"/>
        <v>152294894.6</v>
      </c>
      <c r="E28" s="14">
        <v>13238704.280000001</v>
      </c>
      <c r="F28" s="15">
        <v>4724</v>
      </c>
      <c r="G28" s="14">
        <f t="shared" si="1"/>
        <v>400.3478976654168</v>
      </c>
    </row>
    <row r="29" spans="1:7" ht="12.75">
      <c r="A29" s="20">
        <f t="shared" si="2"/>
        <v>45500</v>
      </c>
      <c r="B29" s="14">
        <v>165278488.6</v>
      </c>
      <c r="C29" s="14">
        <v>534636.8</v>
      </c>
      <c r="D29" s="14">
        <f t="shared" si="0"/>
        <v>151985317.48</v>
      </c>
      <c r="E29" s="14">
        <v>12758534.32</v>
      </c>
      <c r="F29" s="15">
        <v>4724</v>
      </c>
      <c r="G29" s="14">
        <f t="shared" si="1"/>
        <v>385.8272142252328</v>
      </c>
    </row>
    <row r="30" spans="1:7" ht="12.75">
      <c r="A30" s="20">
        <f t="shared" si="2"/>
        <v>45507</v>
      </c>
      <c r="B30" s="14">
        <v>172692087.76</v>
      </c>
      <c r="C30" s="14">
        <v>545950.0700000001</v>
      </c>
      <c r="D30" s="14">
        <f t="shared" si="0"/>
        <v>158792396.1</v>
      </c>
      <c r="E30" s="14">
        <v>13353741.590000005</v>
      </c>
      <c r="F30" s="15">
        <v>4806</v>
      </c>
      <c r="G30" s="14">
        <f t="shared" si="1"/>
        <v>396.93661464835634</v>
      </c>
    </row>
    <row r="31" spans="1:7" ht="12.75">
      <c r="A31" s="20">
        <f t="shared" si="2"/>
        <v>45514</v>
      </c>
      <c r="D31" s="14">
        <f t="shared" si="0"/>
      </c>
      <c r="G31" s="14">
        <f t="shared" si="1"/>
      </c>
    </row>
    <row r="32" spans="1:7" ht="12.75">
      <c r="A32" s="20">
        <f t="shared" si="2"/>
        <v>45521</v>
      </c>
      <c r="D32" s="14">
        <f t="shared" si="0"/>
      </c>
      <c r="G32" s="14">
        <f t="shared" si="1"/>
      </c>
    </row>
    <row r="33" spans="1:7" ht="12.75">
      <c r="A33" s="20">
        <f t="shared" si="2"/>
        <v>45528</v>
      </c>
      <c r="D33" s="14">
        <f t="shared" si="0"/>
      </c>
      <c r="G33" s="14">
        <f t="shared" si="1"/>
      </c>
    </row>
    <row r="34" spans="1:7" ht="12.75">
      <c r="A34" s="20">
        <f t="shared" si="2"/>
        <v>45535</v>
      </c>
      <c r="D34" s="14">
        <f t="shared" si="0"/>
      </c>
      <c r="G34" s="14">
        <f t="shared" si="1"/>
      </c>
    </row>
    <row r="35" spans="1:7" ht="12.75">
      <c r="A35" s="20">
        <f t="shared" si="2"/>
        <v>45542</v>
      </c>
      <c r="D35" s="14">
        <f t="shared" si="0"/>
      </c>
      <c r="G35" s="14">
        <f t="shared" si="1"/>
      </c>
    </row>
    <row r="36" spans="1:7" ht="12.75">
      <c r="A36" s="20">
        <f t="shared" si="2"/>
        <v>45549</v>
      </c>
      <c r="D36" s="14">
        <f t="shared" si="0"/>
      </c>
      <c r="G36" s="14">
        <f>IF(ISBLANK(B36),"",E36/F36/7)</f>
      </c>
    </row>
    <row r="37" spans="1:7" ht="12.75">
      <c r="A37" s="20">
        <f t="shared" si="2"/>
        <v>45556</v>
      </c>
      <c r="D37" s="14">
        <f t="shared" si="0"/>
      </c>
      <c r="G37" s="14">
        <f aca="true" t="shared" si="3" ref="G37:G63">IF(ISBLANK(B37),"",E37/F37/7)</f>
      </c>
    </row>
    <row r="38" spans="1:7" ht="12.75">
      <c r="A38" s="20">
        <f t="shared" si="2"/>
        <v>45563</v>
      </c>
      <c r="B38" s="25"/>
      <c r="C38" s="25"/>
      <c r="D38" s="14">
        <f t="shared" si="0"/>
      </c>
      <c r="E38" s="25"/>
      <c r="F38" s="26"/>
      <c r="G38" s="25">
        <f t="shared" si="3"/>
      </c>
    </row>
    <row r="39" spans="1:7" ht="12.75">
      <c r="A39" s="20">
        <f t="shared" si="2"/>
        <v>45570</v>
      </c>
      <c r="B39" s="27"/>
      <c r="C39" s="27"/>
      <c r="D39" s="14">
        <f t="shared" si="0"/>
      </c>
      <c r="E39" s="25"/>
      <c r="F39" s="26"/>
      <c r="G39" s="25">
        <f t="shared" si="3"/>
      </c>
    </row>
    <row r="40" spans="1:7" ht="12.75">
      <c r="A40" s="20">
        <f t="shared" si="2"/>
        <v>45577</v>
      </c>
      <c r="B40" s="25"/>
      <c r="C40" s="25"/>
      <c r="D40" s="14">
        <f t="shared" si="0"/>
      </c>
      <c r="E40" s="25"/>
      <c r="F40" s="26"/>
      <c r="G40" s="25">
        <f t="shared" si="3"/>
      </c>
    </row>
    <row r="41" spans="1:7" ht="12.75">
      <c r="A41" s="20">
        <f t="shared" si="2"/>
        <v>45584</v>
      </c>
      <c r="B41" s="25"/>
      <c r="C41" s="25"/>
      <c r="D41" s="14">
        <f t="shared" si="0"/>
      </c>
      <c r="E41" s="25"/>
      <c r="F41" s="26"/>
      <c r="G41" s="25">
        <f t="shared" si="3"/>
      </c>
    </row>
    <row r="42" spans="1:7" ht="12.75">
      <c r="A42" s="20">
        <f t="shared" si="2"/>
        <v>45591</v>
      </c>
      <c r="B42" s="25"/>
      <c r="C42" s="25"/>
      <c r="D42" s="14">
        <f t="shared" si="0"/>
      </c>
      <c r="E42" s="25"/>
      <c r="F42" s="26"/>
      <c r="G42" s="25">
        <f t="shared" si="3"/>
      </c>
    </row>
    <row r="43" spans="1:7" ht="12.75">
      <c r="A43" s="20">
        <f t="shared" si="2"/>
        <v>45598</v>
      </c>
      <c r="B43" s="25"/>
      <c r="C43" s="25"/>
      <c r="D43" s="14">
        <f t="shared" si="0"/>
      </c>
      <c r="E43" s="25"/>
      <c r="F43" s="26"/>
      <c r="G43" s="25">
        <f t="shared" si="3"/>
      </c>
    </row>
    <row r="44" spans="1:9" ht="12.75">
      <c r="A44" s="20">
        <f t="shared" si="2"/>
        <v>45605</v>
      </c>
      <c r="D44" s="14">
        <f t="shared" si="0"/>
      </c>
      <c r="F44" s="26"/>
      <c r="G44" s="25">
        <f t="shared" si="3"/>
      </c>
      <c r="I44" s="14"/>
    </row>
    <row r="45" spans="1:9" ht="12.75">
      <c r="A45" s="20">
        <f t="shared" si="2"/>
        <v>45612</v>
      </c>
      <c r="D45" s="14">
        <f t="shared" si="0"/>
      </c>
      <c r="F45" s="26"/>
      <c r="G45" s="25">
        <f t="shared" si="3"/>
      </c>
      <c r="I45" s="14"/>
    </row>
    <row r="46" spans="1:9" ht="12.75">
      <c r="A46" s="20">
        <f t="shared" si="2"/>
        <v>45619</v>
      </c>
      <c r="D46" s="14">
        <f t="shared" si="0"/>
      </c>
      <c r="F46" s="26"/>
      <c r="G46" s="25">
        <f t="shared" si="3"/>
      </c>
      <c r="I46" s="14"/>
    </row>
    <row r="47" spans="1:9" ht="12.75">
      <c r="A47" s="20">
        <f t="shared" si="2"/>
        <v>45626</v>
      </c>
      <c r="D47" s="14">
        <f t="shared" si="0"/>
      </c>
      <c r="F47" s="26"/>
      <c r="G47" s="25">
        <f t="shared" si="3"/>
      </c>
      <c r="I47" s="14"/>
    </row>
    <row r="48" spans="1:9" ht="12.75">
      <c r="A48" s="20">
        <f t="shared" si="2"/>
        <v>45633</v>
      </c>
      <c r="D48" s="14">
        <f t="shared" si="0"/>
      </c>
      <c r="F48" s="26"/>
      <c r="G48" s="25">
        <f t="shared" si="3"/>
      </c>
      <c r="I48" s="14"/>
    </row>
    <row r="49" spans="1:9" ht="12.75">
      <c r="A49" s="20">
        <f t="shared" si="2"/>
        <v>45640</v>
      </c>
      <c r="D49" s="14">
        <f t="shared" si="0"/>
      </c>
      <c r="F49" s="26"/>
      <c r="G49" s="25">
        <f t="shared" si="3"/>
      </c>
      <c r="I49" s="14"/>
    </row>
    <row r="50" spans="1:9" ht="12.75">
      <c r="A50" s="20">
        <f t="shared" si="2"/>
        <v>45647</v>
      </c>
      <c r="D50" s="14">
        <f t="shared" si="0"/>
      </c>
      <c r="F50" s="26"/>
      <c r="G50" s="25">
        <f t="shared" si="3"/>
      </c>
      <c r="I50" s="14"/>
    </row>
    <row r="51" spans="1:9" ht="12.75">
      <c r="A51" s="20">
        <f t="shared" si="2"/>
        <v>45654</v>
      </c>
      <c r="D51" s="14">
        <f t="shared" si="0"/>
      </c>
      <c r="F51" s="26"/>
      <c r="G51" s="25">
        <f t="shared" si="3"/>
      </c>
      <c r="I51" s="14"/>
    </row>
    <row r="52" spans="1:9" ht="12.75">
      <c r="A52" s="20">
        <f t="shared" si="2"/>
        <v>45661</v>
      </c>
      <c r="D52" s="14">
        <f t="shared" si="0"/>
      </c>
      <c r="F52" s="26"/>
      <c r="G52" s="25">
        <f t="shared" si="3"/>
      </c>
      <c r="I52" s="14"/>
    </row>
    <row r="53" spans="1:7" ht="12.75">
      <c r="A53" s="20">
        <f t="shared" si="2"/>
        <v>45668</v>
      </c>
      <c r="B53" s="25"/>
      <c r="C53" s="25"/>
      <c r="D53" s="14">
        <f t="shared" si="0"/>
      </c>
      <c r="E53" s="25"/>
      <c r="F53" s="26"/>
      <c r="G53" s="25">
        <f t="shared" si="3"/>
      </c>
    </row>
    <row r="54" spans="1:7" ht="12.75">
      <c r="A54" s="20">
        <f t="shared" si="2"/>
        <v>45675</v>
      </c>
      <c r="B54" s="25"/>
      <c r="C54" s="25"/>
      <c r="D54" s="14">
        <f t="shared" si="0"/>
      </c>
      <c r="E54" s="25"/>
      <c r="F54" s="26"/>
      <c r="G54" s="25">
        <f t="shared" si="3"/>
      </c>
    </row>
    <row r="55" spans="1:7" ht="12.75">
      <c r="A55" s="20">
        <f t="shared" si="2"/>
        <v>45682</v>
      </c>
      <c r="B55" s="25"/>
      <c r="C55" s="25"/>
      <c r="D55" s="14">
        <f t="shared" si="0"/>
      </c>
      <c r="E55" s="25"/>
      <c r="F55" s="26"/>
      <c r="G55" s="25">
        <f t="shared" si="3"/>
      </c>
    </row>
    <row r="56" spans="1:7" ht="12.75">
      <c r="A56" s="20">
        <f t="shared" si="2"/>
        <v>45689</v>
      </c>
      <c r="B56" s="25"/>
      <c r="C56" s="25"/>
      <c r="D56" s="14">
        <f t="shared" si="0"/>
      </c>
      <c r="E56" s="25"/>
      <c r="F56" s="26"/>
      <c r="G56" s="25">
        <f t="shared" si="3"/>
      </c>
    </row>
    <row r="57" spans="1:7" ht="12.75">
      <c r="A57" s="20">
        <f t="shared" si="2"/>
        <v>45696</v>
      </c>
      <c r="B57" s="25"/>
      <c r="C57" s="25"/>
      <c r="D57" s="14">
        <f t="shared" si="0"/>
      </c>
      <c r="E57" s="25"/>
      <c r="F57" s="26"/>
      <c r="G57" s="25">
        <f t="shared" si="3"/>
      </c>
    </row>
    <row r="58" spans="1:7" ht="12.75">
      <c r="A58" s="20">
        <f t="shared" si="2"/>
        <v>45703</v>
      </c>
      <c r="B58" s="25"/>
      <c r="C58" s="25"/>
      <c r="D58" s="14">
        <f t="shared" si="0"/>
      </c>
      <c r="E58" s="25"/>
      <c r="F58" s="26"/>
      <c r="G58" s="25">
        <f t="shared" si="3"/>
      </c>
    </row>
    <row r="59" spans="1:7" ht="12.75">
      <c r="A59" s="20">
        <f t="shared" si="2"/>
        <v>45710</v>
      </c>
      <c r="B59" s="25"/>
      <c r="C59" s="25"/>
      <c r="D59" s="14">
        <f t="shared" si="0"/>
      </c>
      <c r="E59" s="25"/>
      <c r="F59" s="26"/>
      <c r="G59" s="25">
        <f t="shared" si="3"/>
      </c>
    </row>
    <row r="60" spans="1:7" ht="12.75">
      <c r="A60" s="20">
        <f t="shared" si="2"/>
        <v>45717</v>
      </c>
      <c r="B60" s="25"/>
      <c r="C60" s="25"/>
      <c r="D60" s="14">
        <f t="shared" si="0"/>
      </c>
      <c r="E60" s="25"/>
      <c r="F60" s="26"/>
      <c r="G60" s="25">
        <f t="shared" si="3"/>
      </c>
    </row>
    <row r="61" spans="1:7" ht="12.75">
      <c r="A61" s="20">
        <f t="shared" si="2"/>
        <v>45724</v>
      </c>
      <c r="B61" s="25"/>
      <c r="C61" s="25"/>
      <c r="D61" s="14">
        <f t="shared" si="0"/>
      </c>
      <c r="E61" s="25"/>
      <c r="F61" s="26"/>
      <c r="G61" s="25">
        <f t="shared" si="3"/>
      </c>
    </row>
    <row r="62" spans="1:7" ht="12.75">
      <c r="A62" s="20">
        <f t="shared" si="2"/>
        <v>45731</v>
      </c>
      <c r="B62" s="25"/>
      <c r="C62" s="25"/>
      <c r="D62" s="14">
        <f t="shared" si="0"/>
      </c>
      <c r="E62" s="25"/>
      <c r="F62" s="26"/>
      <c r="G62" s="25">
        <f t="shared" si="3"/>
      </c>
    </row>
    <row r="63" spans="1:7" ht="12.75">
      <c r="A63" s="20">
        <f t="shared" si="2"/>
        <v>45738</v>
      </c>
      <c r="B63" s="25"/>
      <c r="C63" s="25"/>
      <c r="D63" s="14">
        <f t="shared" si="0"/>
      </c>
      <c r="E63" s="25"/>
      <c r="F63" s="26"/>
      <c r="G63" s="25">
        <f t="shared" si="3"/>
      </c>
    </row>
    <row r="64" spans="1:7" ht="12.75">
      <c r="A64" s="20"/>
      <c r="B64" s="25"/>
      <c r="C64" s="25"/>
      <c r="D64" s="25"/>
      <c r="E64" s="25"/>
      <c r="F64" s="26"/>
      <c r="G64" s="25"/>
    </row>
    <row r="65" ht="12.75">
      <c r="A65" s="20"/>
    </row>
    <row r="66" spans="1:7" s="19" customFormat="1" ht="13.5" thickBot="1">
      <c r="A66" s="2" t="s">
        <v>8</v>
      </c>
      <c r="B66" s="16">
        <f>IF(SUM(B12:B65)=0,"",SUM(B12:B65))</f>
        <v>3373771583.24</v>
      </c>
      <c r="C66" s="16">
        <f>IF(SUM(C12:C65)=0,"",SUM(C12:C65))</f>
        <v>10466585.080000002</v>
      </c>
      <c r="D66" s="16">
        <f>IF(SUM(D12:D65)=0,"",SUM(D12:D65))</f>
        <v>3104886935.4899993</v>
      </c>
      <c r="E66" s="16">
        <f>IF(SUM(E12:E65)=0,"",SUM(E12:E65))</f>
        <v>258418062.67</v>
      </c>
      <c r="F66" s="21">
        <f>_xlfn.IFERROR(SUM(F12:F63)/COUNT(F12:F63)," ")</f>
        <v>4826.315789473684</v>
      </c>
      <c r="G66" s="16">
        <f>_xlfn.IFERROR(E66/SUM(F12:F63)/7," ")</f>
        <v>402.5830544788908</v>
      </c>
    </row>
    <row r="67" spans="1:7" ht="13.5" thickTop="1">
      <c r="A67" s="17"/>
      <c r="B67" s="18"/>
      <c r="C67" s="18"/>
      <c r="D67" s="18"/>
      <c r="E67" s="18"/>
      <c r="F67" s="19"/>
      <c r="G67" s="19"/>
    </row>
  </sheetData>
  <sheetProtection/>
  <mergeCells count="6">
    <mergeCell ref="A1:G1"/>
    <mergeCell ref="A2:G2"/>
    <mergeCell ref="A3:G3"/>
    <mergeCell ref="A4:G4"/>
    <mergeCell ref="C5:D5"/>
    <mergeCell ref="A7:G7"/>
  </mergeCells>
  <hyperlinks>
    <hyperlink ref="A4" r:id="rId1" display="www.rwnewyork.com"/>
  </hyperlinks>
  <printOptions horizontalCentered="1"/>
  <pageMargins left="0" right="0" top="0.5" bottom="0.25" header="0.5" footer="0.5"/>
  <pageSetup fitToHeight="1" fitToWidth="1" horizontalDpi="600" verticalDpi="600" orientation="portrait" scale="86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zoomScalePageLayoutView="0" workbookViewId="0" topLeftCell="A1">
      <pane ySplit="10" topLeftCell="A56" activePane="bottomLeft" state="frozen"/>
      <selection pane="topLeft" activeCell="A1" sqref="A1"/>
      <selection pane="bottomLeft" activeCell="G65" sqref="G65"/>
    </sheetView>
  </sheetViews>
  <sheetFormatPr defaultColWidth="9.140625" defaultRowHeight="12.75"/>
  <cols>
    <col min="1" max="1" width="15.7109375" style="2" customWidth="1"/>
    <col min="2" max="3" width="16.28125" style="14" customWidth="1"/>
    <col min="4" max="4" width="15.7109375" style="14" customWidth="1"/>
    <col min="5" max="5" width="15.00390625" style="14" customWidth="1"/>
    <col min="6" max="6" width="10.140625" style="15" customWidth="1"/>
    <col min="7" max="7" width="11.57421875" style="14" customWidth="1"/>
  </cols>
  <sheetData>
    <row r="1" spans="1:7" ht="26.25" customHeight="1">
      <c r="A1" s="28" t="s">
        <v>16</v>
      </c>
      <c r="B1" s="28"/>
      <c r="C1" s="28"/>
      <c r="D1" s="28"/>
      <c r="E1" s="28"/>
      <c r="F1" s="28"/>
      <c r="G1" s="28"/>
    </row>
    <row r="2" spans="1:7" ht="15">
      <c r="A2" s="29" t="s">
        <v>12</v>
      </c>
      <c r="B2" s="29"/>
      <c r="C2" s="29"/>
      <c r="D2" s="29"/>
      <c r="E2" s="29"/>
      <c r="F2" s="29"/>
      <c r="G2" s="29"/>
    </row>
    <row r="3" spans="1:7" s="1" customFormat="1" ht="15">
      <c r="A3" s="29" t="s">
        <v>13</v>
      </c>
      <c r="B3" s="29"/>
      <c r="C3" s="29"/>
      <c r="D3" s="29"/>
      <c r="E3" s="29"/>
      <c r="F3" s="29"/>
      <c r="G3" s="29"/>
    </row>
    <row r="4" spans="1:7" s="1" customFormat="1" ht="15">
      <c r="A4" s="30" t="s">
        <v>14</v>
      </c>
      <c r="B4" s="30"/>
      <c r="C4" s="30"/>
      <c r="D4" s="30"/>
      <c r="E4" s="30"/>
      <c r="F4" s="30"/>
      <c r="G4" s="30"/>
    </row>
    <row r="5" spans="1:7" s="1" customFormat="1" ht="14.25">
      <c r="A5" s="23"/>
      <c r="B5" s="22"/>
      <c r="C5" s="31" t="s">
        <v>15</v>
      </c>
      <c r="D5" s="31"/>
      <c r="E5" s="22"/>
      <c r="F5" s="22"/>
      <c r="G5" s="22"/>
    </row>
    <row r="6" spans="1:7" s="6" customFormat="1" ht="8.25" customHeight="1">
      <c r="A6" s="2"/>
      <c r="B6" s="3"/>
      <c r="C6" s="3"/>
      <c r="D6" s="3"/>
      <c r="E6" s="4"/>
      <c r="F6" s="5"/>
      <c r="G6" s="4"/>
    </row>
    <row r="7" spans="1:7" s="1" customFormat="1" ht="12" customHeight="1">
      <c r="A7" s="32" t="s">
        <v>21</v>
      </c>
      <c r="B7" s="33"/>
      <c r="C7" s="33"/>
      <c r="D7" s="33"/>
      <c r="E7" s="33"/>
      <c r="F7" s="33"/>
      <c r="G7" s="34"/>
    </row>
    <row r="8" spans="1:7" s="11" customFormat="1" ht="12.75">
      <c r="A8" s="2"/>
      <c r="B8" s="3"/>
      <c r="C8" s="3"/>
      <c r="D8" s="3"/>
      <c r="E8" s="4"/>
      <c r="F8" s="5"/>
      <c r="G8" s="4"/>
    </row>
    <row r="9" spans="1:7" s="11" customFormat="1" ht="12">
      <c r="A9" s="8"/>
      <c r="B9" s="9" t="s">
        <v>0</v>
      </c>
      <c r="C9" s="9" t="s">
        <v>11</v>
      </c>
      <c r="D9" s="9" t="s">
        <v>0</v>
      </c>
      <c r="E9" s="9"/>
      <c r="F9" s="10" t="s">
        <v>1</v>
      </c>
      <c r="G9" s="9" t="s">
        <v>2</v>
      </c>
    </row>
    <row r="10" spans="1:7" ht="12.75">
      <c r="A10" s="12" t="s">
        <v>9</v>
      </c>
      <c r="B10" s="7" t="s">
        <v>3</v>
      </c>
      <c r="C10" s="7" t="s">
        <v>18</v>
      </c>
      <c r="D10" s="7" t="s">
        <v>4</v>
      </c>
      <c r="E10" s="7" t="s">
        <v>5</v>
      </c>
      <c r="F10" s="13" t="s">
        <v>6</v>
      </c>
      <c r="G10" s="7" t="s">
        <v>7</v>
      </c>
    </row>
    <row r="12" spans="1:7" ht="12.75">
      <c r="A12" s="20">
        <v>42091</v>
      </c>
      <c r="B12" s="14">
        <v>382755757</v>
      </c>
      <c r="C12" s="14">
        <v>2148289.21</v>
      </c>
      <c r="D12" s="14">
        <f aca="true" t="shared" si="0" ref="D12:D64">B12-C12-E12</f>
        <v>364131052.79</v>
      </c>
      <c r="E12" s="14">
        <v>16476415</v>
      </c>
      <c r="F12" s="15">
        <f>35021/7</f>
        <v>5003</v>
      </c>
      <c r="G12" s="14">
        <v>470</v>
      </c>
    </row>
    <row r="13" spans="1:7" ht="12.75">
      <c r="A13" s="20">
        <f aca="true" t="shared" si="1" ref="A13:A64">+A12+7</f>
        <v>42098</v>
      </c>
      <c r="B13" s="14">
        <v>388315560</v>
      </c>
      <c r="C13" s="14">
        <v>2361897.2</v>
      </c>
      <c r="D13" s="14">
        <f t="shared" si="0"/>
        <v>369641038.8</v>
      </c>
      <c r="E13" s="14">
        <v>16312624</v>
      </c>
      <c r="F13" s="15">
        <f>35021/7</f>
        <v>5003</v>
      </c>
      <c r="G13" s="14">
        <v>466</v>
      </c>
    </row>
    <row r="14" spans="1:7" ht="12.75">
      <c r="A14" s="20">
        <f t="shared" si="1"/>
        <v>42105</v>
      </c>
      <c r="B14" s="14">
        <v>400190163</v>
      </c>
      <c r="C14" s="14">
        <v>2007840.09</v>
      </c>
      <c r="D14" s="14">
        <f t="shared" si="0"/>
        <v>380884672.91</v>
      </c>
      <c r="E14" s="14">
        <v>17297650</v>
      </c>
      <c r="F14" s="15">
        <f>35021/7</f>
        <v>5003</v>
      </c>
      <c r="G14" s="14">
        <v>494</v>
      </c>
    </row>
    <row r="15" spans="1:7" ht="12.75">
      <c r="A15" s="20">
        <f t="shared" si="1"/>
        <v>42112</v>
      </c>
      <c r="B15" s="14">
        <v>378515489</v>
      </c>
      <c r="C15" s="14">
        <f>1878334.3-21149</f>
        <v>1857185.3</v>
      </c>
      <c r="D15" s="14">
        <f t="shared" si="0"/>
        <v>360201113.7</v>
      </c>
      <c r="E15" s="14">
        <v>16457190</v>
      </c>
      <c r="F15" s="15">
        <f>35021/7</f>
        <v>5003</v>
      </c>
      <c r="G15" s="14">
        <v>470</v>
      </c>
    </row>
    <row r="16" spans="1:7" ht="12.75">
      <c r="A16" s="20">
        <f t="shared" si="1"/>
        <v>42119</v>
      </c>
      <c r="B16" s="14">
        <v>371113477</v>
      </c>
      <c r="C16" s="14">
        <v>2006337.53</v>
      </c>
      <c r="D16" s="14">
        <f t="shared" si="0"/>
        <v>352650386.47</v>
      </c>
      <c r="E16" s="14">
        <v>16456753</v>
      </c>
      <c r="F16" s="15">
        <f>34817/7</f>
        <v>4973.857142857143</v>
      </c>
      <c r="G16" s="14">
        <v>473</v>
      </c>
    </row>
    <row r="17" spans="1:7" ht="12.75">
      <c r="A17" s="20">
        <f t="shared" si="1"/>
        <v>42126</v>
      </c>
      <c r="B17" s="14">
        <v>369204739</v>
      </c>
      <c r="C17" s="14">
        <v>2146837.1</v>
      </c>
      <c r="D17" s="14">
        <f t="shared" si="0"/>
        <v>350269344.9</v>
      </c>
      <c r="E17" s="14">
        <v>16788557</v>
      </c>
      <c r="F17" s="15">
        <f>34753/7</f>
        <v>4964.714285714285</v>
      </c>
      <c r="G17" s="14">
        <v>483</v>
      </c>
    </row>
    <row r="18" spans="1:7" ht="12.75">
      <c r="A18" s="20">
        <f t="shared" si="1"/>
        <v>42133</v>
      </c>
      <c r="B18" s="14">
        <v>362484005</v>
      </c>
      <c r="C18" s="14">
        <v>2000677.73</v>
      </c>
      <c r="D18" s="14">
        <f t="shared" si="0"/>
        <v>344123841.27</v>
      </c>
      <c r="E18" s="14">
        <v>16359486</v>
      </c>
      <c r="F18" s="15">
        <f>35093/7</f>
        <v>5013.285714285715</v>
      </c>
      <c r="G18" s="14">
        <v>466</v>
      </c>
    </row>
    <row r="19" spans="1:7" ht="12.75">
      <c r="A19" s="20">
        <f t="shared" si="1"/>
        <v>42140</v>
      </c>
      <c r="B19" s="14">
        <v>366830524</v>
      </c>
      <c r="C19" s="14">
        <v>2135105.74</v>
      </c>
      <c r="D19" s="14">
        <f t="shared" si="0"/>
        <v>348757282.26</v>
      </c>
      <c r="E19" s="14">
        <v>15938136</v>
      </c>
      <c r="F19" s="15">
        <f>35141/7</f>
        <v>5020.142857142857</v>
      </c>
      <c r="G19" s="14">
        <v>454</v>
      </c>
    </row>
    <row r="20" spans="1:7" ht="12.75">
      <c r="A20" s="20">
        <f t="shared" si="1"/>
        <v>42147</v>
      </c>
      <c r="B20" s="14">
        <v>373741704</v>
      </c>
      <c r="C20" s="14">
        <v>2141587.74</v>
      </c>
      <c r="D20" s="14">
        <f t="shared" si="0"/>
        <v>355629739.26</v>
      </c>
      <c r="E20" s="14">
        <v>15970377</v>
      </c>
      <c r="F20" s="15">
        <f>35193/7</f>
        <v>5027.571428571428</v>
      </c>
      <c r="G20" s="14">
        <v>454</v>
      </c>
    </row>
    <row r="21" spans="1:7" ht="12.75">
      <c r="A21" s="20">
        <f t="shared" si="1"/>
        <v>42154</v>
      </c>
      <c r="B21" s="14">
        <v>379619088</v>
      </c>
      <c r="C21" s="14">
        <v>2289478.23</v>
      </c>
      <c r="D21" s="14">
        <f t="shared" si="0"/>
        <v>361230279.77</v>
      </c>
      <c r="E21" s="14">
        <v>16099330</v>
      </c>
      <c r="F21" s="15">
        <f>35123/7</f>
        <v>5017.571428571428</v>
      </c>
      <c r="G21" s="14">
        <v>458</v>
      </c>
    </row>
    <row r="22" spans="1:7" ht="12.75">
      <c r="A22" s="20">
        <f t="shared" si="1"/>
        <v>42161</v>
      </c>
      <c r="B22" s="14">
        <v>383336654</v>
      </c>
      <c r="C22" s="14">
        <v>2172374.24</v>
      </c>
      <c r="D22" s="14">
        <f t="shared" si="0"/>
        <v>364380186.76</v>
      </c>
      <c r="E22" s="14">
        <v>16784093</v>
      </c>
      <c r="F22" s="15">
        <f>35091/7</f>
        <v>5013</v>
      </c>
      <c r="G22" s="14">
        <v>478</v>
      </c>
    </row>
    <row r="23" spans="1:7" ht="12.75">
      <c r="A23" s="20">
        <f t="shared" si="1"/>
        <v>42168</v>
      </c>
      <c r="B23" s="14">
        <v>359417060</v>
      </c>
      <c r="C23" s="14">
        <v>2019923.76</v>
      </c>
      <c r="D23" s="14">
        <f t="shared" si="0"/>
        <v>341138949.24</v>
      </c>
      <c r="E23" s="14">
        <v>16258187</v>
      </c>
      <c r="F23" s="15">
        <f>35131/7</f>
        <v>5018.714285714285</v>
      </c>
      <c r="G23" s="14">
        <v>463</v>
      </c>
    </row>
    <row r="24" spans="1:7" ht="12.75">
      <c r="A24" s="20">
        <f t="shared" si="1"/>
        <v>42175</v>
      </c>
      <c r="B24" s="14">
        <v>354221538</v>
      </c>
      <c r="C24" s="14">
        <v>2038934.65</v>
      </c>
      <c r="D24" s="14">
        <f t="shared" si="0"/>
        <v>337162074.35</v>
      </c>
      <c r="E24" s="14">
        <v>15020529</v>
      </c>
      <c r="F24" s="15">
        <f>35161/7</f>
        <v>5023</v>
      </c>
      <c r="G24" s="14">
        <v>427</v>
      </c>
    </row>
    <row r="25" spans="1:7" ht="12.75">
      <c r="A25" s="20">
        <f t="shared" si="1"/>
        <v>42182</v>
      </c>
      <c r="B25" s="14">
        <v>350557948</v>
      </c>
      <c r="C25" s="14">
        <v>2146253.04</v>
      </c>
      <c r="D25" s="14">
        <f t="shared" si="0"/>
        <v>333967708.96</v>
      </c>
      <c r="E25" s="14">
        <v>14443986</v>
      </c>
      <c r="F25" s="15">
        <f>35259/7</f>
        <v>5037</v>
      </c>
      <c r="G25" s="14">
        <v>410</v>
      </c>
    </row>
    <row r="26" spans="1:7" ht="12.75">
      <c r="A26" s="20">
        <f t="shared" si="1"/>
        <v>42189</v>
      </c>
      <c r="B26" s="14">
        <v>402282141</v>
      </c>
      <c r="C26" s="14">
        <v>2776435.85</v>
      </c>
      <c r="D26" s="14">
        <f t="shared" si="0"/>
        <v>382404334.15</v>
      </c>
      <c r="E26" s="14">
        <v>17101371</v>
      </c>
      <c r="F26" s="15">
        <f>35389/7</f>
        <v>5055.571428571428</v>
      </c>
      <c r="G26" s="14">
        <v>483</v>
      </c>
    </row>
    <row r="27" spans="1:7" ht="12.75">
      <c r="A27" s="20">
        <f t="shared" si="1"/>
        <v>42196</v>
      </c>
      <c r="B27" s="14">
        <v>374529810</v>
      </c>
      <c r="C27" s="14">
        <v>2261130.56</v>
      </c>
      <c r="D27" s="14">
        <f t="shared" si="0"/>
        <v>357224894.44</v>
      </c>
      <c r="E27" s="14">
        <v>15043785</v>
      </c>
      <c r="F27" s="15">
        <f>35541/7</f>
        <v>5077.285714285715</v>
      </c>
      <c r="G27" s="14">
        <v>423</v>
      </c>
    </row>
    <row r="28" spans="1:7" ht="12.75">
      <c r="A28" s="20">
        <f t="shared" si="1"/>
        <v>42203</v>
      </c>
      <c r="B28" s="14">
        <v>371511210</v>
      </c>
      <c r="C28" s="14">
        <v>2325859.2</v>
      </c>
      <c r="D28" s="14">
        <f t="shared" si="0"/>
        <v>353830851.8</v>
      </c>
      <c r="E28" s="14">
        <v>15354499</v>
      </c>
      <c r="F28" s="15">
        <f>35637/7</f>
        <v>5091</v>
      </c>
      <c r="G28" s="14">
        <v>431</v>
      </c>
    </row>
    <row r="29" spans="1:7" ht="12.75">
      <c r="A29" s="20">
        <f t="shared" si="1"/>
        <v>42210</v>
      </c>
      <c r="B29" s="14">
        <v>368738946</v>
      </c>
      <c r="C29" s="14">
        <v>2311946.7</v>
      </c>
      <c r="D29" s="14">
        <f t="shared" si="0"/>
        <v>351125738.3</v>
      </c>
      <c r="E29" s="14">
        <v>15301261</v>
      </c>
      <c r="F29" s="15">
        <f>35637/7</f>
        <v>5091</v>
      </c>
      <c r="G29" s="14">
        <v>429</v>
      </c>
    </row>
    <row r="30" spans="1:7" ht="12.75">
      <c r="A30" s="20">
        <f t="shared" si="1"/>
        <v>42217</v>
      </c>
      <c r="B30" s="14">
        <v>381392075</v>
      </c>
      <c r="C30" s="14">
        <v>2598389.31</v>
      </c>
      <c r="D30" s="14">
        <f t="shared" si="0"/>
        <v>363389052.69</v>
      </c>
      <c r="E30" s="14">
        <v>15404633</v>
      </c>
      <c r="F30" s="15">
        <f>35637/7</f>
        <v>5091</v>
      </c>
      <c r="G30" s="14">
        <v>432</v>
      </c>
    </row>
    <row r="31" spans="1:7" ht="12.75">
      <c r="A31" s="20">
        <f t="shared" si="1"/>
        <v>42224</v>
      </c>
      <c r="B31" s="14">
        <v>376215392</v>
      </c>
      <c r="C31" s="14">
        <v>2376313.94</v>
      </c>
      <c r="D31" s="14">
        <f t="shared" si="0"/>
        <v>357929891.06</v>
      </c>
      <c r="E31" s="14">
        <v>15909187</v>
      </c>
      <c r="F31" s="15">
        <f>35637/7</f>
        <v>5091</v>
      </c>
      <c r="G31" s="14">
        <v>446</v>
      </c>
    </row>
    <row r="32" spans="1:7" ht="12.75">
      <c r="A32" s="20">
        <f t="shared" si="1"/>
        <v>42231</v>
      </c>
      <c r="B32" s="14">
        <v>381476542</v>
      </c>
      <c r="C32" s="14">
        <v>2207848.46</v>
      </c>
      <c r="D32" s="14">
        <f t="shared" si="0"/>
        <v>363799277.54</v>
      </c>
      <c r="E32" s="14">
        <v>15469416</v>
      </c>
      <c r="F32" s="15">
        <f>35937/7</f>
        <v>5133.857142857143</v>
      </c>
      <c r="G32" s="14">
        <v>430</v>
      </c>
    </row>
    <row r="33" spans="1:7" ht="12.75">
      <c r="A33" s="20">
        <f t="shared" si="1"/>
        <v>42238</v>
      </c>
      <c r="B33" s="14">
        <v>378151410</v>
      </c>
      <c r="C33" s="14">
        <v>2241873.08</v>
      </c>
      <c r="D33" s="14">
        <f t="shared" si="0"/>
        <v>359984153.92</v>
      </c>
      <c r="E33" s="14">
        <v>15925383</v>
      </c>
      <c r="F33" s="15">
        <f>36057/7</f>
        <v>5151</v>
      </c>
      <c r="G33" s="14">
        <v>442</v>
      </c>
    </row>
    <row r="34" spans="1:7" ht="12.75">
      <c r="A34" s="20">
        <f t="shared" si="1"/>
        <v>42245</v>
      </c>
      <c r="B34" s="14">
        <v>373917778</v>
      </c>
      <c r="C34" s="14">
        <v>2443160.4</v>
      </c>
      <c r="D34" s="14">
        <f t="shared" si="0"/>
        <v>356349981.6</v>
      </c>
      <c r="E34" s="14">
        <v>15124636</v>
      </c>
      <c r="F34" s="15">
        <f>36057/7</f>
        <v>5151</v>
      </c>
      <c r="G34" s="14">
        <v>419</v>
      </c>
    </row>
    <row r="35" spans="1:7" ht="12.75">
      <c r="A35" s="20">
        <f t="shared" si="1"/>
        <v>42252</v>
      </c>
      <c r="B35" s="14">
        <v>392791976</v>
      </c>
      <c r="C35" s="14">
        <v>2206116.27</v>
      </c>
      <c r="D35" s="14">
        <f t="shared" si="0"/>
        <v>374087160.73</v>
      </c>
      <c r="E35" s="14">
        <v>16498699</v>
      </c>
      <c r="F35" s="15">
        <f>36057/7</f>
        <v>5151</v>
      </c>
      <c r="G35" s="14">
        <v>458</v>
      </c>
    </row>
    <row r="36" spans="1:7" ht="12.75">
      <c r="A36" s="20">
        <f t="shared" si="1"/>
        <v>42259</v>
      </c>
      <c r="B36" s="14">
        <v>388739966</v>
      </c>
      <c r="C36" s="14">
        <v>1932538.74</v>
      </c>
      <c r="D36" s="14">
        <f t="shared" si="0"/>
        <v>370626968.26</v>
      </c>
      <c r="E36" s="14">
        <v>16180459</v>
      </c>
      <c r="F36" s="15">
        <f>36057/7</f>
        <v>5151</v>
      </c>
      <c r="G36" s="14">
        <v>449</v>
      </c>
    </row>
    <row r="37" spans="1:7" ht="12.75">
      <c r="A37" s="20">
        <f t="shared" si="1"/>
        <v>42266</v>
      </c>
      <c r="B37" s="14">
        <v>382129809</v>
      </c>
      <c r="C37" s="14">
        <v>1664732.02</v>
      </c>
      <c r="D37" s="14">
        <f t="shared" si="0"/>
        <v>364626004.98</v>
      </c>
      <c r="E37" s="14">
        <v>15839072</v>
      </c>
      <c r="F37" s="15">
        <v>5151</v>
      </c>
      <c r="G37" s="14">
        <v>439</v>
      </c>
    </row>
    <row r="38" spans="1:7" ht="12.75">
      <c r="A38" s="20">
        <f t="shared" si="1"/>
        <v>42273</v>
      </c>
      <c r="B38" s="14">
        <v>365393415</v>
      </c>
      <c r="C38" s="14">
        <v>1601684.44</v>
      </c>
      <c r="D38" s="14">
        <f t="shared" si="0"/>
        <v>347550697.56</v>
      </c>
      <c r="E38" s="14">
        <v>16241033</v>
      </c>
      <c r="F38" s="15">
        <v>5151</v>
      </c>
      <c r="G38" s="14">
        <v>452</v>
      </c>
    </row>
    <row r="39" spans="1:7" ht="12.75">
      <c r="A39" s="20">
        <f t="shared" si="1"/>
        <v>42280</v>
      </c>
      <c r="B39" s="14">
        <v>368772247</v>
      </c>
      <c r="C39" s="14">
        <v>2406729.08</v>
      </c>
      <c r="D39" s="14">
        <f t="shared" si="0"/>
        <v>350947629.92</v>
      </c>
      <c r="E39" s="14">
        <v>15417888</v>
      </c>
      <c r="F39" s="15">
        <f>35924/7</f>
        <v>5132</v>
      </c>
      <c r="G39" s="14">
        <v>429</v>
      </c>
    </row>
    <row r="40" spans="1:7" ht="12.75">
      <c r="A40" s="20">
        <f t="shared" si="1"/>
        <v>42287</v>
      </c>
      <c r="B40" s="14">
        <v>385339196</v>
      </c>
      <c r="C40" s="14">
        <v>2522296.46</v>
      </c>
      <c r="D40" s="14">
        <f t="shared" si="0"/>
        <v>366333253.54</v>
      </c>
      <c r="E40" s="14">
        <v>16483646</v>
      </c>
      <c r="F40" s="15">
        <f>35924/7</f>
        <v>5132</v>
      </c>
      <c r="G40" s="14">
        <v>459</v>
      </c>
    </row>
    <row r="41" spans="1:7" ht="12.75">
      <c r="A41" s="20">
        <f t="shared" si="1"/>
        <v>42294</v>
      </c>
      <c r="B41" s="14">
        <v>368917585</v>
      </c>
      <c r="C41" s="14">
        <f>2436341.73-28600</f>
        <v>2407741.73</v>
      </c>
      <c r="D41" s="14">
        <f t="shared" si="0"/>
        <v>351062811.27</v>
      </c>
      <c r="E41" s="14">
        <v>15447032</v>
      </c>
      <c r="F41" s="15">
        <f>35924/7</f>
        <v>5132</v>
      </c>
      <c r="G41" s="14">
        <v>430</v>
      </c>
    </row>
    <row r="42" spans="1:7" ht="12.75">
      <c r="A42" s="20">
        <f t="shared" si="1"/>
        <v>42301</v>
      </c>
      <c r="B42" s="14">
        <v>380552888</v>
      </c>
      <c r="C42" s="14">
        <v>2345022</v>
      </c>
      <c r="D42" s="14">
        <f t="shared" si="0"/>
        <v>363579504</v>
      </c>
      <c r="E42" s="14">
        <v>14628362</v>
      </c>
      <c r="F42" s="15">
        <v>5132</v>
      </c>
      <c r="G42" s="14">
        <v>407</v>
      </c>
    </row>
    <row r="43" spans="1:7" ht="12.75">
      <c r="A43" s="20">
        <f t="shared" si="1"/>
        <v>42308</v>
      </c>
      <c r="B43" s="14">
        <v>381578423</v>
      </c>
      <c r="C43" s="14">
        <v>2399993</v>
      </c>
      <c r="D43" s="14">
        <f t="shared" si="0"/>
        <v>363944260</v>
      </c>
      <c r="E43" s="14">
        <v>15234170</v>
      </c>
      <c r="F43" s="15">
        <f>35924/7</f>
        <v>5132</v>
      </c>
      <c r="G43" s="14">
        <v>424</v>
      </c>
    </row>
    <row r="44" spans="1:7" ht="12.75">
      <c r="A44" s="20">
        <f t="shared" si="1"/>
        <v>42315</v>
      </c>
      <c r="B44" s="14">
        <v>390390169</v>
      </c>
      <c r="C44" s="14">
        <f>2013928-54339</f>
        <v>1959589</v>
      </c>
      <c r="D44" s="14">
        <f t="shared" si="0"/>
        <v>370829932</v>
      </c>
      <c r="E44" s="14">
        <v>17600648</v>
      </c>
      <c r="F44" s="24">
        <f>35848/7</f>
        <v>5121.142857142857</v>
      </c>
      <c r="G44" s="14">
        <v>491</v>
      </c>
    </row>
    <row r="45" spans="1:7" ht="12.75">
      <c r="A45" s="20">
        <f t="shared" si="1"/>
        <v>42322</v>
      </c>
      <c r="B45" s="14">
        <v>384521199</v>
      </c>
      <c r="C45" s="14">
        <f>2026861.37-74923</f>
        <v>1951938.37</v>
      </c>
      <c r="D45" s="14">
        <f t="shared" si="0"/>
        <v>366947204.63</v>
      </c>
      <c r="E45" s="14">
        <v>15622056</v>
      </c>
      <c r="F45" s="24">
        <f>35206/7</f>
        <v>5029.428571428572</v>
      </c>
      <c r="G45" s="14">
        <v>444</v>
      </c>
    </row>
    <row r="46" spans="1:7" ht="12.75">
      <c r="A46" s="20">
        <f t="shared" si="1"/>
        <v>42329</v>
      </c>
      <c r="B46" s="14">
        <v>369846085</v>
      </c>
      <c r="C46" s="14">
        <v>1962613</v>
      </c>
      <c r="D46" s="14">
        <f t="shared" si="0"/>
        <v>352800272</v>
      </c>
      <c r="E46" s="14">
        <v>15083200</v>
      </c>
      <c r="F46" s="15">
        <f>35458/7</f>
        <v>5065.428571428572</v>
      </c>
      <c r="G46" s="14">
        <v>425</v>
      </c>
    </row>
    <row r="47" spans="1:7" ht="12.75">
      <c r="A47" s="20">
        <f t="shared" si="1"/>
        <v>42336</v>
      </c>
      <c r="B47" s="14">
        <v>406327553</v>
      </c>
      <c r="C47" s="14">
        <v>2728963.91</v>
      </c>
      <c r="D47" s="14">
        <f t="shared" si="0"/>
        <v>387458237.09</v>
      </c>
      <c r="E47" s="14">
        <v>16140352</v>
      </c>
      <c r="F47" s="15">
        <f>35819/7</f>
        <v>5117</v>
      </c>
      <c r="G47" s="14">
        <v>451</v>
      </c>
    </row>
    <row r="48" spans="1:7" ht="12.75">
      <c r="A48" s="20">
        <f t="shared" si="1"/>
        <v>42343</v>
      </c>
      <c r="B48" s="14">
        <v>393779518</v>
      </c>
      <c r="C48" s="14">
        <v>1941142.55</v>
      </c>
      <c r="D48" s="14">
        <f t="shared" si="0"/>
        <v>374997589.45</v>
      </c>
      <c r="E48" s="14">
        <v>16840786</v>
      </c>
      <c r="F48" s="15">
        <f>34715/7</f>
        <v>4959.285714285715</v>
      </c>
      <c r="G48" s="14">
        <v>485</v>
      </c>
    </row>
    <row r="49" spans="1:7" ht="12.75">
      <c r="A49" s="20">
        <f t="shared" si="1"/>
        <v>42350</v>
      </c>
      <c r="B49" s="14">
        <v>388341584</v>
      </c>
      <c r="C49" s="14">
        <v>1899776.44</v>
      </c>
      <c r="D49" s="14">
        <f t="shared" si="0"/>
        <v>370940111.56</v>
      </c>
      <c r="E49" s="14">
        <v>15501696</v>
      </c>
      <c r="F49" s="15">
        <f>34791/7</f>
        <v>4970.142857142857</v>
      </c>
      <c r="G49" s="14">
        <v>446</v>
      </c>
    </row>
    <row r="50" spans="1:7" ht="12.75">
      <c r="A50" s="20">
        <f t="shared" si="1"/>
        <v>42357</v>
      </c>
      <c r="B50" s="14">
        <v>383146771</v>
      </c>
      <c r="C50" s="14">
        <v>1791867.48</v>
      </c>
      <c r="D50" s="14">
        <f t="shared" si="0"/>
        <v>365644435.52</v>
      </c>
      <c r="E50" s="14">
        <v>15710468</v>
      </c>
      <c r="F50" s="15">
        <f>35628/7</f>
        <v>5089.714285714285</v>
      </c>
      <c r="G50" s="14">
        <v>441</v>
      </c>
    </row>
    <row r="51" spans="1:7" ht="12.75">
      <c r="A51" s="20">
        <f t="shared" si="1"/>
        <v>42364</v>
      </c>
      <c r="B51" s="14">
        <v>414084151</v>
      </c>
      <c r="C51" s="14">
        <v>2151324.83</v>
      </c>
      <c r="D51" s="14">
        <f t="shared" si="0"/>
        <v>395549561.17</v>
      </c>
      <c r="E51" s="14">
        <v>16383265</v>
      </c>
      <c r="F51" s="15">
        <f>36655/7</f>
        <v>5236.428571428572</v>
      </c>
      <c r="G51" s="14">
        <v>447</v>
      </c>
    </row>
    <row r="52" spans="1:7" ht="12.75">
      <c r="A52" s="20">
        <f t="shared" si="1"/>
        <v>42371</v>
      </c>
      <c r="B52" s="14">
        <v>455618538</v>
      </c>
      <c r="C52" s="14">
        <v>2608987.68</v>
      </c>
      <c r="D52" s="14">
        <f t="shared" si="0"/>
        <v>433037703.32</v>
      </c>
      <c r="E52" s="14">
        <v>19971847</v>
      </c>
      <c r="F52" s="15">
        <f>37104/7</f>
        <v>5300.571428571428</v>
      </c>
      <c r="G52" s="14">
        <v>538</v>
      </c>
    </row>
    <row r="53" spans="1:7" ht="12.75">
      <c r="A53" s="20">
        <f t="shared" si="1"/>
        <v>42378</v>
      </c>
      <c r="B53" s="14">
        <v>392973532</v>
      </c>
      <c r="C53" s="14">
        <v>1624752.71</v>
      </c>
      <c r="D53" s="14">
        <f t="shared" si="0"/>
        <v>375504662.29</v>
      </c>
      <c r="E53" s="14">
        <v>15844117</v>
      </c>
      <c r="F53" s="15">
        <f>37065/7</f>
        <v>5295</v>
      </c>
      <c r="G53" s="14">
        <v>427</v>
      </c>
    </row>
    <row r="54" spans="1:7" ht="12.75">
      <c r="A54" s="20">
        <f t="shared" si="1"/>
        <v>42385</v>
      </c>
      <c r="B54" s="14">
        <v>394831739</v>
      </c>
      <c r="C54" s="14">
        <v>1864547.1</v>
      </c>
      <c r="D54" s="14">
        <f t="shared" si="0"/>
        <v>377626988.9</v>
      </c>
      <c r="E54" s="14">
        <v>15340203</v>
      </c>
      <c r="F54" s="15">
        <f>37772/7</f>
        <v>5396</v>
      </c>
      <c r="G54" s="14">
        <v>406</v>
      </c>
    </row>
    <row r="55" spans="1:7" ht="12.75">
      <c r="A55" s="20">
        <f t="shared" si="1"/>
        <v>42392</v>
      </c>
      <c r="B55" s="14">
        <v>330183806</v>
      </c>
      <c r="C55" s="14">
        <v>1793931.42</v>
      </c>
      <c r="D55" s="14">
        <f t="shared" si="0"/>
        <v>315748745.58</v>
      </c>
      <c r="E55" s="14">
        <v>12641129</v>
      </c>
      <c r="F55" s="15">
        <f>38017/7</f>
        <v>5431</v>
      </c>
      <c r="G55" s="14">
        <v>333</v>
      </c>
    </row>
    <row r="56" spans="1:7" ht="12.75">
      <c r="A56" s="20">
        <f t="shared" si="1"/>
        <v>42399</v>
      </c>
      <c r="B56" s="14">
        <v>355412437</v>
      </c>
      <c r="C56" s="14">
        <v>1466828.79</v>
      </c>
      <c r="D56" s="14">
        <f t="shared" si="0"/>
        <v>339881921.21</v>
      </c>
      <c r="E56" s="14">
        <v>14063687</v>
      </c>
      <c r="F56" s="15">
        <f>38017/7</f>
        <v>5431</v>
      </c>
      <c r="G56" s="14">
        <v>370</v>
      </c>
    </row>
    <row r="57" spans="1:7" ht="12.75">
      <c r="A57" s="20">
        <f t="shared" si="1"/>
        <v>42406</v>
      </c>
      <c r="B57" s="14">
        <v>376989554</v>
      </c>
      <c r="C57" s="14">
        <v>1762641.58</v>
      </c>
      <c r="D57" s="14">
        <f t="shared" si="0"/>
        <v>359280547.42</v>
      </c>
      <c r="E57" s="14">
        <v>15946365</v>
      </c>
      <c r="F57" s="15">
        <f>37799/7</f>
        <v>5399.857142857143</v>
      </c>
      <c r="G57" s="14">
        <v>422</v>
      </c>
    </row>
    <row r="58" spans="1:7" ht="12.75">
      <c r="A58" s="20">
        <f t="shared" si="1"/>
        <v>42413</v>
      </c>
      <c r="B58" s="14">
        <v>403137811</v>
      </c>
      <c r="C58" s="14">
        <f>1674556.43-29510</f>
        <v>1645046.43</v>
      </c>
      <c r="D58" s="14">
        <f t="shared" si="0"/>
        <v>384520435.57</v>
      </c>
      <c r="E58" s="14">
        <v>16972329</v>
      </c>
      <c r="F58" s="15">
        <f>38058/7</f>
        <v>5436.857142857143</v>
      </c>
      <c r="G58" s="14">
        <v>446</v>
      </c>
    </row>
    <row r="59" spans="1:7" ht="12.75">
      <c r="A59" s="20">
        <f t="shared" si="1"/>
        <v>42420</v>
      </c>
      <c r="B59" s="14">
        <v>410747444</v>
      </c>
      <c r="C59" s="14">
        <v>1736311.59</v>
      </c>
      <c r="D59" s="14">
        <f t="shared" si="0"/>
        <v>390909723.41</v>
      </c>
      <c r="E59" s="14">
        <v>18101409</v>
      </c>
      <c r="F59" s="15">
        <f>38136/7</f>
        <v>5448</v>
      </c>
      <c r="G59" s="14">
        <v>475</v>
      </c>
    </row>
    <row r="60" spans="1:7" ht="12.75">
      <c r="A60" s="20">
        <f t="shared" si="1"/>
        <v>42427</v>
      </c>
      <c r="B60" s="14">
        <v>420509144</v>
      </c>
      <c r="C60" s="14">
        <v>1845843.89</v>
      </c>
      <c r="D60" s="14">
        <f t="shared" si="0"/>
        <v>401226934.11</v>
      </c>
      <c r="E60" s="14">
        <v>17436366</v>
      </c>
      <c r="F60" s="15">
        <f>38164/7</f>
        <v>5452</v>
      </c>
      <c r="G60" s="14">
        <v>457</v>
      </c>
    </row>
    <row r="61" spans="1:7" ht="12.75">
      <c r="A61" s="20">
        <f t="shared" si="1"/>
        <v>42434</v>
      </c>
      <c r="B61" s="14">
        <v>430471920</v>
      </c>
      <c r="C61" s="14">
        <v>1855948.96</v>
      </c>
      <c r="D61" s="14">
        <f t="shared" si="0"/>
        <v>410325968.04</v>
      </c>
      <c r="E61" s="14">
        <v>18290003</v>
      </c>
      <c r="F61" s="15">
        <f>38106/7</f>
        <v>5443.714285714285</v>
      </c>
      <c r="G61" s="14">
        <v>480</v>
      </c>
    </row>
    <row r="62" spans="1:7" ht="12.75">
      <c r="A62" s="20">
        <f t="shared" si="1"/>
        <v>42441</v>
      </c>
      <c r="B62" s="14">
        <v>424558722</v>
      </c>
      <c r="C62" s="14">
        <v>1403778.2</v>
      </c>
      <c r="D62" s="14">
        <f t="shared" si="0"/>
        <v>404374932.8</v>
      </c>
      <c r="E62" s="14">
        <v>18780011</v>
      </c>
      <c r="F62" s="15">
        <f>38657/7</f>
        <v>5522.428571428572</v>
      </c>
      <c r="G62" s="14">
        <v>486</v>
      </c>
    </row>
    <row r="63" spans="1:7" ht="12.75">
      <c r="A63" s="20">
        <f t="shared" si="1"/>
        <v>42448</v>
      </c>
      <c r="B63" s="14">
        <v>423069652</v>
      </c>
      <c r="C63" s="14">
        <v>1498539.28</v>
      </c>
      <c r="D63" s="14">
        <f t="shared" si="0"/>
        <v>404118768.72</v>
      </c>
      <c r="E63" s="14">
        <v>17452344</v>
      </c>
      <c r="F63" s="15">
        <f>38801/7</f>
        <v>5543</v>
      </c>
      <c r="G63" s="14">
        <v>450</v>
      </c>
    </row>
    <row r="64" spans="1:7" ht="12.75">
      <c r="A64" s="20">
        <f t="shared" si="1"/>
        <v>42455</v>
      </c>
      <c r="B64" s="14">
        <v>424908347</v>
      </c>
      <c r="C64" s="14">
        <v>1434713.02</v>
      </c>
      <c r="D64" s="14">
        <f t="shared" si="0"/>
        <v>405829280.98</v>
      </c>
      <c r="E64" s="14">
        <v>17644353</v>
      </c>
      <c r="F64" s="15">
        <f>38817/7</f>
        <v>5545.285714285715</v>
      </c>
      <c r="G64" s="14">
        <v>455</v>
      </c>
    </row>
    <row r="65" ht="12.75">
      <c r="A65" s="20"/>
    </row>
    <row r="66" spans="1:7" s="19" customFormat="1" ht="13.5" thickBot="1">
      <c r="A66" s="2" t="s">
        <v>8</v>
      </c>
      <c r="B66" s="16">
        <f>SUM(B12:B64)</f>
        <v>20416584191</v>
      </c>
      <c r="C66" s="16">
        <f>SUM(C12:C64)</f>
        <v>109431619.03000002</v>
      </c>
      <c r="D66" s="16">
        <f>SUM(D12:D64)</f>
        <v>19450518092.97</v>
      </c>
      <c r="E66" s="16">
        <f>SUM(E12:E64)</f>
        <v>856634479</v>
      </c>
      <c r="F66" s="21">
        <f>SUM(F12:F65)/COUNT(F12:F65)</f>
        <v>5161.33692722372</v>
      </c>
      <c r="G66" s="16">
        <f>+E66/SUM(F12:F65)/7</f>
        <v>447.3623494403756</v>
      </c>
    </row>
    <row r="67" spans="1:7" ht="13.5" thickTop="1">
      <c r="A67" s="17"/>
      <c r="B67" s="18"/>
      <c r="C67" s="18"/>
      <c r="D67" s="18"/>
      <c r="E67" s="18"/>
      <c r="F67" s="19"/>
      <c r="G67" s="19"/>
    </row>
  </sheetData>
  <sheetProtection/>
  <mergeCells count="6">
    <mergeCell ref="A7:G7"/>
    <mergeCell ref="A1:G1"/>
    <mergeCell ref="A2:G2"/>
    <mergeCell ref="A3:G3"/>
    <mergeCell ref="A4:G4"/>
    <mergeCell ref="C5:D5"/>
  </mergeCells>
  <hyperlinks>
    <hyperlink ref="A4" r:id="rId1" display="www.rwnewyork.com"/>
  </hyperlinks>
  <printOptions horizontalCentered="1"/>
  <pageMargins left="0" right="0" top="0.5" bottom="0.25" header="0.5" footer="0.5"/>
  <pageSetup fitToHeight="1" fitToWidth="1" horizontalDpi="600" verticalDpi="600" orientation="portrait" scale="85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zoomScalePageLayoutView="0" workbookViewId="0" topLeftCell="A1">
      <pane ySplit="10" topLeftCell="A53" activePane="bottomLeft" state="frozen"/>
      <selection pane="topLeft" activeCell="A1" sqref="A1"/>
      <selection pane="bottomLeft" activeCell="G64" sqref="G64"/>
    </sheetView>
  </sheetViews>
  <sheetFormatPr defaultColWidth="9.140625" defaultRowHeight="12.75"/>
  <cols>
    <col min="1" max="1" width="15.7109375" style="2" customWidth="1"/>
    <col min="2" max="3" width="16.28125" style="14" customWidth="1"/>
    <col min="4" max="4" width="15.7109375" style="14" customWidth="1"/>
    <col min="5" max="5" width="15.00390625" style="14" customWidth="1"/>
    <col min="6" max="6" width="10.140625" style="15" customWidth="1"/>
    <col min="7" max="7" width="11.57421875" style="14" customWidth="1"/>
  </cols>
  <sheetData>
    <row r="1" spans="1:7" ht="26.25" customHeight="1">
      <c r="A1" s="28" t="s">
        <v>16</v>
      </c>
      <c r="B1" s="28"/>
      <c r="C1" s="28"/>
      <c r="D1" s="28"/>
      <c r="E1" s="28"/>
      <c r="F1" s="28"/>
      <c r="G1" s="28"/>
    </row>
    <row r="2" spans="1:7" ht="15">
      <c r="A2" s="29" t="s">
        <v>12</v>
      </c>
      <c r="B2" s="29"/>
      <c r="C2" s="29"/>
      <c r="D2" s="29"/>
      <c r="E2" s="29"/>
      <c r="F2" s="29"/>
      <c r="G2" s="29"/>
    </row>
    <row r="3" spans="1:7" s="1" customFormat="1" ht="15">
      <c r="A3" s="29" t="s">
        <v>13</v>
      </c>
      <c r="B3" s="29"/>
      <c r="C3" s="29"/>
      <c r="D3" s="29"/>
      <c r="E3" s="29"/>
      <c r="F3" s="29"/>
      <c r="G3" s="29"/>
    </row>
    <row r="4" spans="1:7" s="1" customFormat="1" ht="15">
      <c r="A4" s="30" t="s">
        <v>14</v>
      </c>
      <c r="B4" s="30"/>
      <c r="C4" s="30"/>
      <c r="D4" s="30"/>
      <c r="E4" s="30"/>
      <c r="F4" s="30"/>
      <c r="G4" s="30"/>
    </row>
    <row r="5" spans="1:7" s="1" customFormat="1" ht="14.25">
      <c r="A5" s="23"/>
      <c r="B5" s="22"/>
      <c r="C5" s="31" t="s">
        <v>15</v>
      </c>
      <c r="D5" s="31"/>
      <c r="E5" s="22"/>
      <c r="F5" s="22"/>
      <c r="G5" s="22"/>
    </row>
    <row r="6" spans="1:7" s="6" customFormat="1" ht="8.25" customHeight="1">
      <c r="A6" s="2"/>
      <c r="B6" s="3"/>
      <c r="C6" s="3"/>
      <c r="D6" s="3"/>
      <c r="E6" s="4"/>
      <c r="F6" s="5"/>
      <c r="G6" s="4"/>
    </row>
    <row r="7" spans="1:7" s="1" customFormat="1" ht="12" customHeight="1">
      <c r="A7" s="32" t="s">
        <v>20</v>
      </c>
      <c r="B7" s="33"/>
      <c r="C7" s="33"/>
      <c r="D7" s="33"/>
      <c r="E7" s="33"/>
      <c r="F7" s="33"/>
      <c r="G7" s="34"/>
    </row>
    <row r="8" spans="1:7" s="11" customFormat="1" ht="12.75">
      <c r="A8" s="2"/>
      <c r="B8" s="3"/>
      <c r="C8" s="3"/>
      <c r="D8" s="3"/>
      <c r="E8" s="4"/>
      <c r="F8" s="5"/>
      <c r="G8" s="4"/>
    </row>
    <row r="9" spans="1:7" s="11" customFormat="1" ht="12">
      <c r="A9" s="8"/>
      <c r="B9" s="9" t="s">
        <v>0</v>
      </c>
      <c r="C9" s="9" t="s">
        <v>11</v>
      </c>
      <c r="D9" s="9" t="s">
        <v>0</v>
      </c>
      <c r="E9" s="9"/>
      <c r="F9" s="10" t="s">
        <v>1</v>
      </c>
      <c r="G9" s="9" t="s">
        <v>2</v>
      </c>
    </row>
    <row r="10" spans="1:7" ht="12.75">
      <c r="A10" s="12" t="s">
        <v>9</v>
      </c>
      <c r="B10" s="7" t="s">
        <v>3</v>
      </c>
      <c r="C10" s="7" t="s">
        <v>18</v>
      </c>
      <c r="D10" s="7" t="s">
        <v>4</v>
      </c>
      <c r="E10" s="7" t="s">
        <v>5</v>
      </c>
      <c r="F10" s="13" t="s">
        <v>6</v>
      </c>
      <c r="G10" s="7" t="s">
        <v>7</v>
      </c>
    </row>
    <row r="12" spans="1:7" ht="12.75">
      <c r="A12" s="20">
        <v>41727</v>
      </c>
      <c r="B12" s="14">
        <v>345474868.31</v>
      </c>
      <c r="C12" s="14">
        <v>2138059.31</v>
      </c>
      <c r="D12" s="14">
        <f aca="true" t="shared" si="0" ref="D12:D63">B12-C12-E12</f>
        <v>327571967</v>
      </c>
      <c r="E12" s="14">
        <v>15764842</v>
      </c>
      <c r="F12" s="15">
        <f aca="true" t="shared" si="1" ref="F12:F17">35035/7</f>
        <v>5005</v>
      </c>
      <c r="G12" s="14">
        <v>450</v>
      </c>
    </row>
    <row r="13" spans="1:7" ht="12.75">
      <c r="A13" s="20">
        <f aca="true" t="shared" si="2" ref="A13:A63">+A12+7</f>
        <v>41734</v>
      </c>
      <c r="B13" s="14">
        <v>366809544.73</v>
      </c>
      <c r="C13" s="14">
        <v>1895552.73</v>
      </c>
      <c r="D13" s="14">
        <f t="shared" si="0"/>
        <v>348281937</v>
      </c>
      <c r="E13" s="14">
        <v>16632055</v>
      </c>
      <c r="F13" s="15">
        <f t="shared" si="1"/>
        <v>5005</v>
      </c>
      <c r="G13" s="14">
        <v>475</v>
      </c>
    </row>
    <row r="14" spans="1:7" ht="12.75">
      <c r="A14" s="20">
        <f t="shared" si="2"/>
        <v>41741</v>
      </c>
      <c r="B14" s="14">
        <v>350077260.99</v>
      </c>
      <c r="C14" s="14">
        <v>1510341.99</v>
      </c>
      <c r="D14" s="14">
        <f t="shared" si="0"/>
        <v>332308134</v>
      </c>
      <c r="E14" s="14">
        <v>16258785</v>
      </c>
      <c r="F14" s="15">
        <f t="shared" si="1"/>
        <v>5005</v>
      </c>
      <c r="G14" s="14">
        <v>464</v>
      </c>
    </row>
    <row r="15" spans="1:7" ht="12.75">
      <c r="A15" s="20">
        <f t="shared" si="2"/>
        <v>41748</v>
      </c>
      <c r="B15" s="14">
        <v>347800972.17</v>
      </c>
      <c r="C15" s="14">
        <v>1881340.17</v>
      </c>
      <c r="D15" s="14">
        <f t="shared" si="0"/>
        <v>329890716</v>
      </c>
      <c r="E15" s="14">
        <v>16028916</v>
      </c>
      <c r="F15" s="15">
        <f t="shared" si="1"/>
        <v>5005</v>
      </c>
      <c r="G15" s="14">
        <v>458</v>
      </c>
    </row>
    <row r="16" spans="1:7" ht="12.75">
      <c r="A16" s="20">
        <f t="shared" si="2"/>
        <v>41755</v>
      </c>
      <c r="B16" s="14">
        <v>347583935.35</v>
      </c>
      <c r="C16" s="14">
        <v>2064114.35</v>
      </c>
      <c r="D16" s="14">
        <f t="shared" si="0"/>
        <v>328955090</v>
      </c>
      <c r="E16" s="14">
        <v>16564731</v>
      </c>
      <c r="F16" s="15">
        <f t="shared" si="1"/>
        <v>5005</v>
      </c>
      <c r="G16" s="14">
        <v>473</v>
      </c>
    </row>
    <row r="17" spans="1:7" ht="12.75">
      <c r="A17" s="20">
        <f t="shared" si="2"/>
        <v>41762</v>
      </c>
      <c r="B17" s="14">
        <v>332957418.05</v>
      </c>
      <c r="C17" s="14">
        <v>1654097.05</v>
      </c>
      <c r="D17" s="14">
        <f t="shared" si="0"/>
        <v>315420226</v>
      </c>
      <c r="E17" s="14">
        <v>15883095</v>
      </c>
      <c r="F17" s="15">
        <f t="shared" si="1"/>
        <v>5005</v>
      </c>
      <c r="G17" s="14">
        <v>453</v>
      </c>
    </row>
    <row r="18" spans="1:7" ht="12.75">
      <c r="A18" s="20">
        <f t="shared" si="2"/>
        <v>41769</v>
      </c>
      <c r="B18" s="14">
        <v>343956154.19</v>
      </c>
      <c r="C18" s="14">
        <v>1689185.19</v>
      </c>
      <c r="D18" s="14">
        <f t="shared" si="0"/>
        <v>326321650</v>
      </c>
      <c r="E18" s="14">
        <v>15945319</v>
      </c>
      <c r="F18" s="15">
        <f>35035/7</f>
        <v>5005</v>
      </c>
      <c r="G18" s="14">
        <v>455</v>
      </c>
    </row>
    <row r="19" spans="1:7" ht="12.75">
      <c r="A19" s="20">
        <f t="shared" si="2"/>
        <v>41776</v>
      </c>
      <c r="B19" s="14">
        <v>344940188.83</v>
      </c>
      <c r="C19" s="14">
        <v>1637869.83</v>
      </c>
      <c r="D19" s="14">
        <f t="shared" si="0"/>
        <v>327831419</v>
      </c>
      <c r="E19" s="14">
        <v>15470900</v>
      </c>
      <c r="F19" s="15">
        <f>35035/7</f>
        <v>5005</v>
      </c>
      <c r="G19" s="14">
        <v>442</v>
      </c>
    </row>
    <row r="20" spans="1:7" ht="12.75">
      <c r="A20" s="20">
        <f t="shared" si="2"/>
        <v>41783</v>
      </c>
      <c r="B20" s="14">
        <v>335684289.22</v>
      </c>
      <c r="C20" s="14">
        <v>1772361.22</v>
      </c>
      <c r="D20" s="14">
        <f t="shared" si="0"/>
        <v>318074944</v>
      </c>
      <c r="E20" s="14">
        <v>15836984</v>
      </c>
      <c r="F20" s="15">
        <f>35035/7</f>
        <v>5005</v>
      </c>
      <c r="G20" s="14">
        <v>452</v>
      </c>
    </row>
    <row r="21" spans="1:7" ht="12.75">
      <c r="A21" s="20">
        <f t="shared" si="2"/>
        <v>41790</v>
      </c>
      <c r="B21" s="14">
        <v>348018300.11</v>
      </c>
      <c r="C21" s="14">
        <f>1948543.11-18055</f>
        <v>1930488.11</v>
      </c>
      <c r="D21" s="14">
        <f t="shared" si="0"/>
        <v>329821949</v>
      </c>
      <c r="E21" s="14">
        <v>16265863</v>
      </c>
      <c r="F21" s="15">
        <f>35035/7</f>
        <v>5005</v>
      </c>
      <c r="G21" s="14">
        <v>464</v>
      </c>
    </row>
    <row r="22" spans="1:7" ht="12.75">
      <c r="A22" s="20">
        <f t="shared" si="2"/>
        <v>41797</v>
      </c>
      <c r="B22" s="14">
        <v>339680091.28</v>
      </c>
      <c r="C22" s="14">
        <v>1789426.28</v>
      </c>
      <c r="D22" s="14">
        <f t="shared" si="0"/>
        <v>321742039</v>
      </c>
      <c r="E22" s="14">
        <v>16148626</v>
      </c>
      <c r="F22" s="15">
        <f>35035/7</f>
        <v>5005</v>
      </c>
      <c r="G22" s="14">
        <v>461</v>
      </c>
    </row>
    <row r="23" spans="1:7" ht="12.75">
      <c r="A23" s="20">
        <f t="shared" si="2"/>
        <v>41804</v>
      </c>
      <c r="B23" s="14">
        <v>335685317.93</v>
      </c>
      <c r="C23" s="14">
        <v>1511991.93</v>
      </c>
      <c r="D23" s="14">
        <f t="shared" si="0"/>
        <v>319254612</v>
      </c>
      <c r="E23" s="14">
        <v>14918714</v>
      </c>
      <c r="F23" s="15">
        <f>34795/7</f>
        <v>4970.714285714285</v>
      </c>
      <c r="G23" s="14">
        <v>429</v>
      </c>
    </row>
    <row r="24" spans="1:7" ht="12.75">
      <c r="A24" s="20">
        <f t="shared" si="2"/>
        <v>41811</v>
      </c>
      <c r="B24" s="14">
        <v>326175894.82</v>
      </c>
      <c r="C24" s="14">
        <v>1654340.82</v>
      </c>
      <c r="D24" s="14">
        <f t="shared" si="0"/>
        <v>310078136</v>
      </c>
      <c r="E24" s="14">
        <v>14443418</v>
      </c>
      <c r="F24" s="15">
        <f aca="true" t="shared" si="3" ref="F24:F29">35021/7</f>
        <v>5003</v>
      </c>
      <c r="G24" s="14">
        <v>412</v>
      </c>
    </row>
    <row r="25" spans="1:7" ht="12.75">
      <c r="A25" s="20">
        <f t="shared" si="2"/>
        <v>41818</v>
      </c>
      <c r="B25" s="14">
        <v>326829239.18</v>
      </c>
      <c r="C25" s="14">
        <v>1430665.18</v>
      </c>
      <c r="D25" s="14">
        <f t="shared" si="0"/>
        <v>310400897</v>
      </c>
      <c r="E25" s="14">
        <v>14997677</v>
      </c>
      <c r="F25" s="15">
        <f t="shared" si="3"/>
        <v>5003</v>
      </c>
      <c r="G25" s="14">
        <v>428</v>
      </c>
    </row>
    <row r="26" spans="1:7" ht="12.75">
      <c r="A26" s="20">
        <f t="shared" si="2"/>
        <v>41825</v>
      </c>
      <c r="B26" s="14">
        <v>349067954.32</v>
      </c>
      <c r="C26" s="14">
        <v>1673130.32</v>
      </c>
      <c r="D26" s="14">
        <f t="shared" si="0"/>
        <v>330523448</v>
      </c>
      <c r="E26" s="14">
        <v>16871376</v>
      </c>
      <c r="F26" s="15">
        <f t="shared" si="3"/>
        <v>5003</v>
      </c>
      <c r="G26" s="14">
        <v>482</v>
      </c>
    </row>
    <row r="27" spans="1:7" ht="12.75">
      <c r="A27" s="20">
        <f t="shared" si="2"/>
        <v>41832</v>
      </c>
      <c r="B27" s="14">
        <v>324885905.01</v>
      </c>
      <c r="C27" s="14">
        <f>1424459.01-20160</f>
        <v>1404299.01</v>
      </c>
      <c r="D27" s="14">
        <f t="shared" si="0"/>
        <v>308609202</v>
      </c>
      <c r="E27" s="14">
        <v>14872404</v>
      </c>
      <c r="F27" s="15">
        <f t="shared" si="3"/>
        <v>5003</v>
      </c>
      <c r="G27" s="14">
        <v>425</v>
      </c>
    </row>
    <row r="28" spans="1:7" ht="12.75">
      <c r="A28" s="20">
        <f t="shared" si="2"/>
        <v>41839</v>
      </c>
      <c r="B28" s="14">
        <v>331748431.97</v>
      </c>
      <c r="C28" s="14">
        <v>1606178.97</v>
      </c>
      <c r="D28" s="14">
        <f t="shared" si="0"/>
        <v>315414775</v>
      </c>
      <c r="E28" s="14">
        <v>14727478</v>
      </c>
      <c r="F28" s="15">
        <f t="shared" si="3"/>
        <v>5003</v>
      </c>
      <c r="G28" s="14">
        <v>421</v>
      </c>
    </row>
    <row r="29" spans="1:7" ht="12.75">
      <c r="A29" s="20">
        <f t="shared" si="2"/>
        <v>41846</v>
      </c>
      <c r="B29" s="14">
        <v>346185836.88</v>
      </c>
      <c r="C29" s="14">
        <f>1750799.88-19639</f>
        <v>1731160.88</v>
      </c>
      <c r="D29" s="14">
        <f t="shared" si="0"/>
        <v>329429519</v>
      </c>
      <c r="E29" s="14">
        <v>15025157</v>
      </c>
      <c r="F29" s="15">
        <f t="shared" si="3"/>
        <v>5003</v>
      </c>
      <c r="G29" s="14">
        <v>429</v>
      </c>
    </row>
    <row r="30" spans="1:7" ht="12.75">
      <c r="A30" s="20">
        <f t="shared" si="2"/>
        <v>41853</v>
      </c>
      <c r="B30" s="14">
        <v>368418783.51</v>
      </c>
      <c r="C30" s="14">
        <v>1983989.51</v>
      </c>
      <c r="D30" s="14">
        <f t="shared" si="0"/>
        <v>350335886</v>
      </c>
      <c r="E30" s="14">
        <v>16098908</v>
      </c>
      <c r="F30" s="15">
        <f aca="true" t="shared" si="4" ref="F30:F35">35021/7</f>
        <v>5003</v>
      </c>
      <c r="G30" s="14">
        <v>460</v>
      </c>
    </row>
    <row r="31" spans="1:7" ht="12.75">
      <c r="A31" s="20">
        <f t="shared" si="2"/>
        <v>41860</v>
      </c>
      <c r="B31" s="14">
        <v>357338520.82</v>
      </c>
      <c r="C31" s="14">
        <v>1685125.82</v>
      </c>
      <c r="D31" s="14">
        <f t="shared" si="0"/>
        <v>340140356</v>
      </c>
      <c r="E31" s="14">
        <v>15513039</v>
      </c>
      <c r="F31" s="15">
        <f t="shared" si="4"/>
        <v>5003</v>
      </c>
      <c r="G31" s="14">
        <v>443</v>
      </c>
    </row>
    <row r="32" spans="1:7" ht="12.75">
      <c r="A32" s="20">
        <f t="shared" si="2"/>
        <v>41867</v>
      </c>
      <c r="B32" s="14">
        <v>352224305.09</v>
      </c>
      <c r="C32" s="14">
        <v>1618501.09</v>
      </c>
      <c r="D32" s="14">
        <f t="shared" si="0"/>
        <v>334551821</v>
      </c>
      <c r="E32" s="14">
        <v>16053983</v>
      </c>
      <c r="F32" s="15">
        <f t="shared" si="4"/>
        <v>5003</v>
      </c>
      <c r="G32" s="14">
        <v>458</v>
      </c>
    </row>
    <row r="33" spans="1:7" ht="12.75">
      <c r="A33" s="20">
        <f t="shared" si="2"/>
        <v>41874</v>
      </c>
      <c r="B33" s="14">
        <v>340726582.29</v>
      </c>
      <c r="C33" s="14">
        <v>1817918.29</v>
      </c>
      <c r="D33" s="14">
        <f t="shared" si="0"/>
        <v>323751308</v>
      </c>
      <c r="E33" s="14">
        <v>15157356</v>
      </c>
      <c r="F33" s="15">
        <f t="shared" si="4"/>
        <v>5003</v>
      </c>
      <c r="G33" s="14">
        <v>433</v>
      </c>
    </row>
    <row r="34" spans="1:7" ht="12.75">
      <c r="A34" s="20">
        <f t="shared" si="2"/>
        <v>41881</v>
      </c>
      <c r="B34" s="14">
        <v>344593164.55</v>
      </c>
      <c r="C34" s="14">
        <v>1866627.55</v>
      </c>
      <c r="D34" s="14">
        <f t="shared" si="0"/>
        <v>327267226</v>
      </c>
      <c r="E34" s="14">
        <v>15459311</v>
      </c>
      <c r="F34" s="15">
        <f t="shared" si="4"/>
        <v>5003</v>
      </c>
      <c r="G34" s="14">
        <v>441</v>
      </c>
    </row>
    <row r="35" spans="1:7" ht="12.75">
      <c r="A35" s="20">
        <f t="shared" si="2"/>
        <v>41888</v>
      </c>
      <c r="B35" s="14">
        <v>366898035.09</v>
      </c>
      <c r="C35" s="14">
        <v>2333512.09</v>
      </c>
      <c r="D35" s="14">
        <f t="shared" si="0"/>
        <v>348001882</v>
      </c>
      <c r="E35" s="14">
        <v>16562641</v>
      </c>
      <c r="F35" s="15">
        <f t="shared" si="4"/>
        <v>5003</v>
      </c>
      <c r="G35" s="14">
        <v>473</v>
      </c>
    </row>
    <row r="36" spans="1:7" ht="12.75">
      <c r="A36" s="20">
        <f t="shared" si="2"/>
        <v>41895</v>
      </c>
      <c r="B36" s="14">
        <v>325566429.63</v>
      </c>
      <c r="C36" s="14">
        <v>1721436.63</v>
      </c>
      <c r="D36" s="14">
        <f t="shared" si="0"/>
        <v>308482085</v>
      </c>
      <c r="E36" s="14">
        <v>15362908</v>
      </c>
      <c r="F36" s="15">
        <f aca="true" t="shared" si="5" ref="F36:F41">35021/7</f>
        <v>5003</v>
      </c>
      <c r="G36" s="14">
        <v>439</v>
      </c>
    </row>
    <row r="37" spans="1:7" ht="12.75">
      <c r="A37" s="20">
        <f t="shared" si="2"/>
        <v>41902</v>
      </c>
      <c r="B37" s="14">
        <v>329136363.52</v>
      </c>
      <c r="C37" s="14">
        <v>1853034.52</v>
      </c>
      <c r="D37" s="14">
        <f t="shared" si="0"/>
        <v>312949224</v>
      </c>
      <c r="E37" s="14">
        <v>14334105</v>
      </c>
      <c r="F37" s="15">
        <f t="shared" si="5"/>
        <v>5003</v>
      </c>
      <c r="G37" s="14">
        <v>409</v>
      </c>
    </row>
    <row r="38" spans="1:7" ht="12.75">
      <c r="A38" s="20">
        <f t="shared" si="2"/>
        <v>41909</v>
      </c>
      <c r="B38" s="14">
        <v>347097309.96</v>
      </c>
      <c r="C38" s="14">
        <v>1877874.96</v>
      </c>
      <c r="D38" s="14">
        <f t="shared" si="0"/>
        <v>329746649</v>
      </c>
      <c r="E38" s="14">
        <v>15472786</v>
      </c>
      <c r="F38" s="15">
        <f t="shared" si="5"/>
        <v>5003</v>
      </c>
      <c r="G38" s="14">
        <v>442</v>
      </c>
    </row>
    <row r="39" spans="1:7" ht="12.75">
      <c r="A39" s="20">
        <f t="shared" si="2"/>
        <v>41916</v>
      </c>
      <c r="B39" s="14">
        <v>362038101.92</v>
      </c>
      <c r="C39" s="14">
        <v>2209161.92</v>
      </c>
      <c r="D39" s="14">
        <f t="shared" si="0"/>
        <v>343476268</v>
      </c>
      <c r="E39" s="14">
        <v>16352672</v>
      </c>
      <c r="F39" s="15">
        <f t="shared" si="5"/>
        <v>5003</v>
      </c>
      <c r="G39" s="14">
        <v>467</v>
      </c>
    </row>
    <row r="40" spans="1:7" ht="12.75">
      <c r="A40" s="20">
        <f t="shared" si="2"/>
        <v>41923</v>
      </c>
      <c r="B40" s="14">
        <v>349910832.47</v>
      </c>
      <c r="C40" s="14">
        <v>2059147.47</v>
      </c>
      <c r="D40" s="14">
        <f t="shared" si="0"/>
        <v>332590014</v>
      </c>
      <c r="E40" s="14">
        <v>15261671</v>
      </c>
      <c r="F40" s="15">
        <f t="shared" si="5"/>
        <v>5003</v>
      </c>
      <c r="G40" s="14">
        <v>436</v>
      </c>
    </row>
    <row r="41" spans="1:7" ht="12.75">
      <c r="A41" s="20">
        <f t="shared" si="2"/>
        <v>41930</v>
      </c>
      <c r="B41" s="14">
        <v>359205803.82</v>
      </c>
      <c r="C41" s="14">
        <v>2087970.82</v>
      </c>
      <c r="D41" s="14">
        <f t="shared" si="0"/>
        <v>341684893</v>
      </c>
      <c r="E41" s="14">
        <v>15432940</v>
      </c>
      <c r="F41" s="15">
        <f t="shared" si="5"/>
        <v>5003</v>
      </c>
      <c r="G41" s="14">
        <v>441</v>
      </c>
    </row>
    <row r="42" spans="1:7" ht="12.75">
      <c r="A42" s="20">
        <f t="shared" si="2"/>
        <v>41937</v>
      </c>
      <c r="B42" s="14">
        <v>371119458.37</v>
      </c>
      <c r="C42" s="14">
        <v>2319506.37</v>
      </c>
      <c r="D42" s="14">
        <f t="shared" si="0"/>
        <v>353899530</v>
      </c>
      <c r="E42" s="14">
        <v>14900422</v>
      </c>
      <c r="F42" s="15">
        <f aca="true" t="shared" si="6" ref="F42:F47">35021/7</f>
        <v>5003</v>
      </c>
      <c r="G42" s="14">
        <v>425</v>
      </c>
    </row>
    <row r="43" spans="1:7" ht="12.75">
      <c r="A43" s="20">
        <f t="shared" si="2"/>
        <v>41944</v>
      </c>
      <c r="B43" s="14">
        <v>371107873.57</v>
      </c>
      <c r="C43" s="14">
        <f>2304380.57-36498</f>
        <v>2267882.57</v>
      </c>
      <c r="D43" s="14">
        <f t="shared" si="0"/>
        <v>353605007</v>
      </c>
      <c r="E43" s="14">
        <v>15234984</v>
      </c>
      <c r="F43" s="24">
        <f t="shared" si="6"/>
        <v>5003</v>
      </c>
      <c r="G43" s="14">
        <v>435</v>
      </c>
    </row>
    <row r="44" spans="1:7" ht="12.75">
      <c r="A44" s="20">
        <f t="shared" si="2"/>
        <v>41951</v>
      </c>
      <c r="B44" s="14">
        <v>376015182</v>
      </c>
      <c r="C44" s="14">
        <v>1963185</v>
      </c>
      <c r="D44" s="14">
        <f t="shared" si="0"/>
        <v>357986196</v>
      </c>
      <c r="E44" s="14">
        <v>16065801</v>
      </c>
      <c r="F44" s="24">
        <f t="shared" si="6"/>
        <v>5003</v>
      </c>
      <c r="G44" s="14">
        <v>459</v>
      </c>
    </row>
    <row r="45" spans="1:7" ht="12.75">
      <c r="A45" s="20">
        <f t="shared" si="2"/>
        <v>41958</v>
      </c>
      <c r="B45" s="14">
        <v>373131707.69</v>
      </c>
      <c r="C45" s="14">
        <v>1711474.69</v>
      </c>
      <c r="D45" s="14">
        <f t="shared" si="0"/>
        <v>356042837</v>
      </c>
      <c r="E45" s="14">
        <v>15377396</v>
      </c>
      <c r="F45" s="15">
        <f t="shared" si="6"/>
        <v>5003</v>
      </c>
      <c r="G45" s="14">
        <v>439</v>
      </c>
    </row>
    <row r="46" spans="1:7" ht="12.75">
      <c r="A46" s="20">
        <f t="shared" si="2"/>
        <v>41965</v>
      </c>
      <c r="B46" s="14">
        <v>362086368.14</v>
      </c>
      <c r="C46" s="14">
        <v>1906140.14</v>
      </c>
      <c r="D46" s="14">
        <f t="shared" si="0"/>
        <v>345228685</v>
      </c>
      <c r="E46" s="14">
        <v>14951543</v>
      </c>
      <c r="F46" s="15">
        <f t="shared" si="6"/>
        <v>5003</v>
      </c>
      <c r="G46" s="14">
        <v>427</v>
      </c>
    </row>
    <row r="47" spans="1:7" ht="12.75">
      <c r="A47" s="20">
        <f t="shared" si="2"/>
        <v>41972</v>
      </c>
      <c r="B47" s="14">
        <v>371121627.52</v>
      </c>
      <c r="C47" s="14">
        <f>2079967.52-38896</f>
        <v>2041071.52</v>
      </c>
      <c r="D47" s="14">
        <f t="shared" si="0"/>
        <v>352613124</v>
      </c>
      <c r="E47" s="14">
        <v>16467432</v>
      </c>
      <c r="F47" s="15">
        <f t="shared" si="6"/>
        <v>5003</v>
      </c>
      <c r="G47" s="14">
        <v>470</v>
      </c>
    </row>
    <row r="48" spans="1:7" ht="12.75">
      <c r="A48" s="20">
        <f t="shared" si="2"/>
        <v>41979</v>
      </c>
      <c r="B48" s="14">
        <v>356983484.4</v>
      </c>
      <c r="C48" s="14">
        <v>1767856.4</v>
      </c>
      <c r="D48" s="14">
        <f t="shared" si="0"/>
        <v>339935749</v>
      </c>
      <c r="E48" s="14">
        <v>15279879</v>
      </c>
      <c r="F48" s="15">
        <f aca="true" t="shared" si="7" ref="F48:F53">35021/7</f>
        <v>5003</v>
      </c>
      <c r="G48" s="14">
        <v>436</v>
      </c>
    </row>
    <row r="49" spans="1:7" ht="12.75">
      <c r="A49" s="20">
        <f t="shared" si="2"/>
        <v>41986</v>
      </c>
      <c r="B49" s="14">
        <v>343818347.13</v>
      </c>
      <c r="C49" s="14">
        <v>1425730.13</v>
      </c>
      <c r="D49" s="14">
        <f t="shared" si="0"/>
        <v>328149476</v>
      </c>
      <c r="E49" s="14">
        <v>14243141</v>
      </c>
      <c r="F49" s="15">
        <f t="shared" si="7"/>
        <v>5003</v>
      </c>
      <c r="G49" s="14">
        <v>407</v>
      </c>
    </row>
    <row r="50" spans="1:7" ht="12.75">
      <c r="A50" s="20">
        <f t="shared" si="2"/>
        <v>41993</v>
      </c>
      <c r="B50" s="14">
        <v>346092536.21</v>
      </c>
      <c r="C50" s="14">
        <v>1532780.21</v>
      </c>
      <c r="D50" s="14">
        <f t="shared" si="0"/>
        <v>329760277</v>
      </c>
      <c r="E50" s="14">
        <v>14799479</v>
      </c>
      <c r="F50" s="15">
        <f t="shared" si="7"/>
        <v>5003</v>
      </c>
      <c r="G50" s="14">
        <v>423</v>
      </c>
    </row>
    <row r="51" spans="1:7" ht="12.75">
      <c r="A51" s="20">
        <f t="shared" si="2"/>
        <v>42000</v>
      </c>
      <c r="B51" s="14">
        <v>393663152.63</v>
      </c>
      <c r="C51" s="14">
        <v>1638679.63</v>
      </c>
      <c r="D51" s="14">
        <f t="shared" si="0"/>
        <v>375275983</v>
      </c>
      <c r="E51" s="14">
        <v>16748490</v>
      </c>
      <c r="F51" s="15">
        <f t="shared" si="7"/>
        <v>5003</v>
      </c>
      <c r="G51" s="14">
        <v>478</v>
      </c>
    </row>
    <row r="52" spans="1:7" ht="12.75">
      <c r="A52" s="20">
        <f t="shared" si="2"/>
        <v>42007</v>
      </c>
      <c r="B52" s="14">
        <v>414485147.65</v>
      </c>
      <c r="C52" s="14">
        <v>2108867.65</v>
      </c>
      <c r="D52" s="14">
        <f t="shared" si="0"/>
        <v>393993078</v>
      </c>
      <c r="E52" s="14">
        <v>18383202</v>
      </c>
      <c r="F52" s="15">
        <f t="shared" si="7"/>
        <v>5003</v>
      </c>
      <c r="G52" s="14">
        <v>525</v>
      </c>
    </row>
    <row r="53" spans="1:7" ht="12.75">
      <c r="A53" s="20">
        <f t="shared" si="2"/>
        <v>42014</v>
      </c>
      <c r="B53" s="14">
        <v>338431646.13</v>
      </c>
      <c r="C53" s="14">
        <v>1609189.13</v>
      </c>
      <c r="D53" s="14">
        <f t="shared" si="0"/>
        <v>322692169</v>
      </c>
      <c r="E53" s="14">
        <v>14130288</v>
      </c>
      <c r="F53" s="15">
        <f t="shared" si="7"/>
        <v>5003</v>
      </c>
      <c r="G53" s="14">
        <v>403</v>
      </c>
    </row>
    <row r="54" spans="1:7" ht="12.75">
      <c r="A54" s="20">
        <f t="shared" si="2"/>
        <v>42021</v>
      </c>
      <c r="B54" s="14">
        <v>357225423.76</v>
      </c>
      <c r="C54" s="14">
        <v>1619497.76</v>
      </c>
      <c r="D54" s="14">
        <f t="shared" si="0"/>
        <v>340050718</v>
      </c>
      <c r="E54" s="14">
        <v>15555208</v>
      </c>
      <c r="F54" s="15">
        <f aca="true" t="shared" si="8" ref="F54:F59">35021/7</f>
        <v>5003</v>
      </c>
      <c r="G54" s="14">
        <v>444</v>
      </c>
    </row>
    <row r="55" spans="1:7" ht="12.75">
      <c r="A55" s="20">
        <f t="shared" si="2"/>
        <v>42028</v>
      </c>
      <c r="B55" s="14">
        <v>353384892.34</v>
      </c>
      <c r="C55" s="14">
        <v>1875310.34</v>
      </c>
      <c r="D55" s="14">
        <f t="shared" si="0"/>
        <v>336536221</v>
      </c>
      <c r="E55" s="14">
        <v>14973361</v>
      </c>
      <c r="F55" s="15">
        <f t="shared" si="8"/>
        <v>5003</v>
      </c>
      <c r="G55" s="14">
        <v>428</v>
      </c>
    </row>
    <row r="56" spans="1:7" ht="12.75">
      <c r="A56" s="20">
        <f t="shared" si="2"/>
        <v>42035</v>
      </c>
      <c r="B56" s="14">
        <v>301219353.11</v>
      </c>
      <c r="C56" s="14">
        <v>1444877.11</v>
      </c>
      <c r="D56" s="14">
        <f t="shared" si="0"/>
        <v>286738791</v>
      </c>
      <c r="E56" s="14">
        <v>13035685</v>
      </c>
      <c r="F56" s="15">
        <f t="shared" si="8"/>
        <v>5003</v>
      </c>
      <c r="G56" s="14">
        <v>372</v>
      </c>
    </row>
    <row r="57" spans="1:7" ht="12.75">
      <c r="A57" s="20">
        <f t="shared" si="2"/>
        <v>42042</v>
      </c>
      <c r="B57" s="14">
        <v>342906681.86</v>
      </c>
      <c r="C57" s="14">
        <v>2255104.86</v>
      </c>
      <c r="D57" s="14">
        <f t="shared" si="0"/>
        <v>325984551</v>
      </c>
      <c r="E57" s="14">
        <v>14667026</v>
      </c>
      <c r="F57" s="15">
        <f t="shared" si="8"/>
        <v>5003</v>
      </c>
      <c r="G57" s="14">
        <v>419</v>
      </c>
    </row>
    <row r="58" spans="1:7" ht="12.75">
      <c r="A58" s="20">
        <f t="shared" si="2"/>
        <v>42049</v>
      </c>
      <c r="B58" s="14">
        <v>345408799.8</v>
      </c>
      <c r="C58" s="14">
        <v>1780791.8</v>
      </c>
      <c r="D58" s="14">
        <f t="shared" si="0"/>
        <v>327991701</v>
      </c>
      <c r="E58" s="14">
        <v>15636307</v>
      </c>
      <c r="F58" s="15">
        <f t="shared" si="8"/>
        <v>5003</v>
      </c>
      <c r="G58" s="14">
        <v>446</v>
      </c>
    </row>
    <row r="59" spans="1:7" ht="12.75">
      <c r="A59" s="20">
        <f t="shared" si="2"/>
        <v>42056</v>
      </c>
      <c r="B59" s="14">
        <v>360520696.17</v>
      </c>
      <c r="C59" s="14">
        <v>1990432.17</v>
      </c>
      <c r="D59" s="14">
        <f t="shared" si="0"/>
        <v>342391410</v>
      </c>
      <c r="E59" s="14">
        <v>16138854</v>
      </c>
      <c r="F59" s="15">
        <f t="shared" si="8"/>
        <v>5003</v>
      </c>
      <c r="G59" s="14">
        <v>461</v>
      </c>
    </row>
    <row r="60" spans="1:7" ht="12.75">
      <c r="A60" s="20">
        <f t="shared" si="2"/>
        <v>42063</v>
      </c>
      <c r="B60" s="14">
        <v>386225945.39</v>
      </c>
      <c r="C60" s="14">
        <v>2012582.39</v>
      </c>
      <c r="D60" s="14">
        <f t="shared" si="0"/>
        <v>366504391</v>
      </c>
      <c r="E60" s="14">
        <v>17708972</v>
      </c>
      <c r="F60" s="15">
        <f>35021/7</f>
        <v>5003</v>
      </c>
      <c r="G60" s="14">
        <v>506</v>
      </c>
    </row>
    <row r="61" spans="1:7" ht="12.75">
      <c r="A61" s="20">
        <f t="shared" si="2"/>
        <v>42070</v>
      </c>
      <c r="B61" s="14">
        <v>347935090</v>
      </c>
      <c r="C61" s="14">
        <v>1892564.51</v>
      </c>
      <c r="D61" s="14">
        <f t="shared" si="0"/>
        <v>330924358.49</v>
      </c>
      <c r="E61" s="14">
        <v>15118167</v>
      </c>
      <c r="F61" s="15">
        <f>35021/7</f>
        <v>5003</v>
      </c>
      <c r="G61" s="14">
        <v>432</v>
      </c>
    </row>
    <row r="62" spans="1:7" ht="12.75">
      <c r="A62" s="20">
        <f t="shared" si="2"/>
        <v>42077</v>
      </c>
      <c r="B62" s="14">
        <v>383798154</v>
      </c>
      <c r="C62" s="14">
        <v>1977119.64</v>
      </c>
      <c r="D62" s="14">
        <f t="shared" si="0"/>
        <v>364909245.36</v>
      </c>
      <c r="E62" s="14">
        <v>16911789</v>
      </c>
      <c r="F62" s="15">
        <f>35021/7</f>
        <v>5003</v>
      </c>
      <c r="G62" s="14">
        <v>483</v>
      </c>
    </row>
    <row r="63" spans="1:7" ht="12.75">
      <c r="A63" s="20">
        <f t="shared" si="2"/>
        <v>42084</v>
      </c>
      <c r="B63" s="14">
        <v>379170939</v>
      </c>
      <c r="C63" s="14">
        <v>2002501.01</v>
      </c>
      <c r="D63" s="14">
        <f t="shared" si="0"/>
        <v>359509026.99</v>
      </c>
      <c r="E63" s="14">
        <v>17659411</v>
      </c>
      <c r="F63" s="15">
        <f>35021/7</f>
        <v>5003</v>
      </c>
      <c r="G63" s="14">
        <v>504</v>
      </c>
    </row>
    <row r="64" ht="12.75">
      <c r="A64" s="20"/>
    </row>
    <row r="65" spans="1:7" s="19" customFormat="1" ht="13.5" thickBot="1">
      <c r="A65" s="2" t="s">
        <v>8</v>
      </c>
      <c r="B65" s="16">
        <f>SUM(B12:B63)</f>
        <v>18322568342.879997</v>
      </c>
      <c r="C65" s="16">
        <f>SUM(C12:C63)</f>
        <v>95232049.04</v>
      </c>
      <c r="D65" s="16">
        <f>SUM(D12:D63)</f>
        <v>17413630796.84</v>
      </c>
      <c r="E65" s="16">
        <f>SUM(E12:E63)</f>
        <v>813705497</v>
      </c>
      <c r="F65" s="21">
        <f>SUM(F12:F64)/COUNT(F12:F64)</f>
        <v>5002.802197802198</v>
      </c>
      <c r="G65" s="16">
        <f>+E65/SUM(F12:F64)/7</f>
        <v>446.84050532119363</v>
      </c>
    </row>
    <row r="66" spans="1:7" ht="13.5" thickTop="1">
      <c r="A66" s="17"/>
      <c r="B66" s="18"/>
      <c r="C66" s="18"/>
      <c r="D66" s="18"/>
      <c r="E66" s="18"/>
      <c r="F66" s="19"/>
      <c r="G66" s="19"/>
    </row>
  </sheetData>
  <sheetProtection/>
  <mergeCells count="6">
    <mergeCell ref="A7:G7"/>
    <mergeCell ref="A1:G1"/>
    <mergeCell ref="A2:G2"/>
    <mergeCell ref="A3:G3"/>
    <mergeCell ref="A4:G4"/>
    <mergeCell ref="C5:D5"/>
  </mergeCells>
  <hyperlinks>
    <hyperlink ref="A4" r:id="rId1" display="www.rwnewyork.com"/>
  </hyperlinks>
  <printOptions horizontalCentered="1"/>
  <pageMargins left="0" right="0" top="0.5" bottom="0.25" header="0.5" footer="0.5"/>
  <pageSetup fitToHeight="1" fitToWidth="1" horizontalDpi="600" verticalDpi="600" orientation="portrait" scale="86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38" sqref="A38"/>
    </sheetView>
  </sheetViews>
  <sheetFormatPr defaultColWidth="9.140625" defaultRowHeight="12.75"/>
  <cols>
    <col min="1" max="1" width="15.7109375" style="2" customWidth="1"/>
    <col min="2" max="3" width="16.28125" style="14" customWidth="1"/>
    <col min="4" max="4" width="15.7109375" style="14" customWidth="1"/>
    <col min="5" max="5" width="15.00390625" style="14" customWidth="1"/>
    <col min="6" max="6" width="10.140625" style="15" customWidth="1"/>
    <col min="7" max="7" width="11.57421875" style="14" customWidth="1"/>
  </cols>
  <sheetData>
    <row r="1" spans="1:7" ht="18">
      <c r="A1" s="28" t="s">
        <v>16</v>
      </c>
      <c r="B1" s="28"/>
      <c r="C1" s="28"/>
      <c r="D1" s="28"/>
      <c r="E1" s="28"/>
      <c r="F1" s="28"/>
      <c r="G1" s="28"/>
    </row>
    <row r="2" spans="1:7" ht="15">
      <c r="A2" s="29" t="s">
        <v>12</v>
      </c>
      <c r="B2" s="29"/>
      <c r="C2" s="29"/>
      <c r="D2" s="29"/>
      <c r="E2" s="29"/>
      <c r="F2" s="29"/>
      <c r="G2" s="29"/>
    </row>
    <row r="3" spans="1:7" s="1" customFormat="1" ht="15">
      <c r="A3" s="29" t="s">
        <v>13</v>
      </c>
      <c r="B3" s="29"/>
      <c r="C3" s="29"/>
      <c r="D3" s="29"/>
      <c r="E3" s="29"/>
      <c r="F3" s="29"/>
      <c r="G3" s="29"/>
    </row>
    <row r="4" spans="1:7" s="1" customFormat="1" ht="15">
      <c r="A4" s="30" t="s">
        <v>14</v>
      </c>
      <c r="B4" s="30"/>
      <c r="C4" s="30"/>
      <c r="D4" s="30"/>
      <c r="E4" s="30"/>
      <c r="F4" s="30"/>
      <c r="G4" s="30"/>
    </row>
    <row r="5" spans="1:7" s="1" customFormat="1" ht="14.25">
      <c r="A5" s="23"/>
      <c r="B5" s="22"/>
      <c r="C5" s="31" t="s">
        <v>15</v>
      </c>
      <c r="D5" s="31"/>
      <c r="E5" s="22"/>
      <c r="F5" s="22"/>
      <c r="G5" s="22"/>
    </row>
    <row r="6" spans="1:7" s="6" customFormat="1" ht="8.25" customHeight="1">
      <c r="A6" s="2"/>
      <c r="B6" s="3"/>
      <c r="C6" s="3"/>
      <c r="D6" s="3"/>
      <c r="E6" s="4"/>
      <c r="F6" s="5"/>
      <c r="G6" s="4"/>
    </row>
    <row r="7" spans="1:7" s="1" customFormat="1" ht="12" customHeight="1">
      <c r="A7" s="32" t="s">
        <v>19</v>
      </c>
      <c r="B7" s="33"/>
      <c r="C7" s="33"/>
      <c r="D7" s="33"/>
      <c r="E7" s="33"/>
      <c r="F7" s="33"/>
      <c r="G7" s="34"/>
    </row>
    <row r="8" spans="1:7" s="11" customFormat="1" ht="12.75">
      <c r="A8" s="2"/>
      <c r="B8" s="3"/>
      <c r="C8" s="3"/>
      <c r="D8" s="3"/>
      <c r="E8" s="4"/>
      <c r="F8" s="5"/>
      <c r="G8" s="4"/>
    </row>
    <row r="9" spans="1:7" s="11" customFormat="1" ht="12">
      <c r="A9" s="8"/>
      <c r="B9" s="9" t="s">
        <v>0</v>
      </c>
      <c r="C9" s="9" t="s">
        <v>11</v>
      </c>
      <c r="D9" s="9" t="s">
        <v>0</v>
      </c>
      <c r="E9" s="9"/>
      <c r="F9" s="10" t="s">
        <v>1</v>
      </c>
      <c r="G9" s="9" t="s">
        <v>2</v>
      </c>
    </row>
    <row r="10" spans="1:7" ht="12.75">
      <c r="A10" s="12" t="s">
        <v>9</v>
      </c>
      <c r="B10" s="7" t="s">
        <v>3</v>
      </c>
      <c r="C10" s="7" t="s">
        <v>18</v>
      </c>
      <c r="D10" s="7" t="s">
        <v>4</v>
      </c>
      <c r="E10" s="7" t="s">
        <v>5</v>
      </c>
      <c r="F10" s="13" t="s">
        <v>6</v>
      </c>
      <c r="G10" s="7" t="s">
        <v>7</v>
      </c>
    </row>
    <row r="12" spans="1:7" ht="12.75">
      <c r="A12" s="20">
        <v>41363</v>
      </c>
      <c r="B12" s="14">
        <v>335857397.24</v>
      </c>
      <c r="C12" s="14">
        <v>1316662.24</v>
      </c>
      <c r="D12" s="14">
        <f aca="true" t="shared" si="0" ref="D12:D63">B12-C12-E12</f>
        <v>319143420</v>
      </c>
      <c r="E12" s="14">
        <v>15397315</v>
      </c>
      <c r="F12" s="15">
        <f aca="true" t="shared" si="1" ref="F12:F17">35021/7</f>
        <v>5003</v>
      </c>
      <c r="G12" s="14">
        <v>440</v>
      </c>
    </row>
    <row r="13" spans="1:7" ht="12.75">
      <c r="A13" s="20">
        <f aca="true" t="shared" si="2" ref="A13:A63">+A12+7</f>
        <v>41370</v>
      </c>
      <c r="B13" s="14">
        <v>347487742.02</v>
      </c>
      <c r="C13" s="14">
        <v>1660206.02</v>
      </c>
      <c r="D13" s="14">
        <f t="shared" si="0"/>
        <v>328870736</v>
      </c>
      <c r="E13" s="14">
        <v>16956800</v>
      </c>
      <c r="F13" s="15">
        <f t="shared" si="1"/>
        <v>5003</v>
      </c>
      <c r="G13" s="14">
        <v>484</v>
      </c>
    </row>
    <row r="14" spans="1:7" ht="12.75">
      <c r="A14" s="20">
        <f t="shared" si="2"/>
        <v>41377</v>
      </c>
      <c r="B14" s="14">
        <v>331108206.7</v>
      </c>
      <c r="C14" s="14">
        <v>1449171.7</v>
      </c>
      <c r="D14" s="14">
        <f t="shared" si="0"/>
        <v>313565742</v>
      </c>
      <c r="E14" s="14">
        <v>16093293</v>
      </c>
      <c r="F14" s="15">
        <f t="shared" si="1"/>
        <v>5003</v>
      </c>
      <c r="G14" s="14">
        <v>460</v>
      </c>
    </row>
    <row r="15" spans="1:7" ht="12.75">
      <c r="A15" s="20">
        <f t="shared" si="2"/>
        <v>41384</v>
      </c>
      <c r="B15" s="14">
        <v>327921508.87</v>
      </c>
      <c r="C15" s="14">
        <v>1485843.87</v>
      </c>
      <c r="D15" s="14">
        <f t="shared" si="0"/>
        <v>311036267</v>
      </c>
      <c r="E15" s="14">
        <v>15399398</v>
      </c>
      <c r="F15" s="15">
        <f t="shared" si="1"/>
        <v>5003</v>
      </c>
      <c r="G15" s="14">
        <v>440</v>
      </c>
    </row>
    <row r="16" spans="1:7" ht="12.75">
      <c r="A16" s="20">
        <f t="shared" si="2"/>
        <v>41391</v>
      </c>
      <c r="B16" s="14">
        <v>321041055.04</v>
      </c>
      <c r="C16" s="14">
        <v>1525956.04</v>
      </c>
      <c r="D16" s="14">
        <f t="shared" si="0"/>
        <v>304079226</v>
      </c>
      <c r="E16" s="14">
        <v>15435873</v>
      </c>
      <c r="F16" s="15">
        <f t="shared" si="1"/>
        <v>5003</v>
      </c>
      <c r="G16" s="14">
        <v>441</v>
      </c>
    </row>
    <row r="17" spans="1:7" ht="12.75">
      <c r="A17" s="20">
        <f t="shared" si="2"/>
        <v>41398</v>
      </c>
      <c r="B17" s="14">
        <v>330559692.74</v>
      </c>
      <c r="C17" s="14">
        <v>1502874.74</v>
      </c>
      <c r="D17" s="14">
        <f t="shared" si="0"/>
        <v>313088947</v>
      </c>
      <c r="E17" s="14">
        <v>15967871</v>
      </c>
      <c r="F17" s="15">
        <f t="shared" si="1"/>
        <v>5003</v>
      </c>
      <c r="G17" s="14">
        <v>456</v>
      </c>
    </row>
    <row r="18" spans="1:7" ht="12.75">
      <c r="A18" s="20">
        <f t="shared" si="2"/>
        <v>41405</v>
      </c>
      <c r="B18" s="14">
        <v>323394805.84</v>
      </c>
      <c r="C18" s="14">
        <v>1467766.84</v>
      </c>
      <c r="D18" s="14">
        <f t="shared" si="0"/>
        <v>306777304</v>
      </c>
      <c r="E18" s="14">
        <v>15149735</v>
      </c>
      <c r="F18" s="15">
        <f>35021/7</f>
        <v>5003</v>
      </c>
      <c r="G18" s="14">
        <v>433</v>
      </c>
    </row>
    <row r="19" spans="1:7" ht="12.75">
      <c r="A19" s="20">
        <f t="shared" si="2"/>
        <v>41412</v>
      </c>
      <c r="B19" s="14">
        <v>327089511.14</v>
      </c>
      <c r="C19" s="14">
        <v>1559741.14</v>
      </c>
      <c r="D19" s="14">
        <f t="shared" si="0"/>
        <v>309920361</v>
      </c>
      <c r="E19" s="14">
        <v>15609409</v>
      </c>
      <c r="F19" s="15">
        <f>35031/7</f>
        <v>5004.428571428572</v>
      </c>
      <c r="G19" s="14">
        <v>446</v>
      </c>
    </row>
    <row r="20" spans="1:7" ht="12.75">
      <c r="A20" s="20">
        <f t="shared" si="2"/>
        <v>41419</v>
      </c>
      <c r="B20" s="14">
        <v>324166067</v>
      </c>
      <c r="C20" s="14">
        <v>1425528</v>
      </c>
      <c r="D20" s="14">
        <f t="shared" si="0"/>
        <v>308181077</v>
      </c>
      <c r="E20" s="14">
        <v>14559462</v>
      </c>
      <c r="F20" s="15">
        <f aca="true" t="shared" si="3" ref="F20:F25">35035/7</f>
        <v>5005</v>
      </c>
      <c r="G20" s="14">
        <v>416</v>
      </c>
    </row>
    <row r="21" spans="1:7" ht="12.75">
      <c r="A21" s="20">
        <f t="shared" si="2"/>
        <v>41426</v>
      </c>
      <c r="B21" s="14">
        <v>346669321.72</v>
      </c>
      <c r="C21" s="14">
        <v>1765672.72</v>
      </c>
      <c r="D21" s="14">
        <f t="shared" si="0"/>
        <v>328787716</v>
      </c>
      <c r="E21" s="14">
        <v>16115933</v>
      </c>
      <c r="F21" s="15">
        <f t="shared" si="3"/>
        <v>5005</v>
      </c>
      <c r="G21" s="14">
        <v>460</v>
      </c>
    </row>
    <row r="22" spans="1:7" ht="12.75">
      <c r="A22" s="20">
        <f t="shared" si="2"/>
        <v>41433</v>
      </c>
      <c r="B22" s="14">
        <v>332306800.7</v>
      </c>
      <c r="C22" s="14">
        <v>1617886.7</v>
      </c>
      <c r="D22" s="14">
        <f t="shared" si="0"/>
        <v>315823154</v>
      </c>
      <c r="E22" s="14">
        <v>14865760</v>
      </c>
      <c r="F22" s="15">
        <f t="shared" si="3"/>
        <v>5005</v>
      </c>
      <c r="G22" s="14">
        <v>424</v>
      </c>
    </row>
    <row r="23" spans="1:7" ht="12.75">
      <c r="A23" s="20">
        <f t="shared" si="2"/>
        <v>41440</v>
      </c>
      <c r="B23" s="14">
        <v>327108435.52</v>
      </c>
      <c r="C23" s="14">
        <v>1490039.52</v>
      </c>
      <c r="D23" s="14">
        <f t="shared" si="0"/>
        <v>309939236</v>
      </c>
      <c r="E23" s="14">
        <v>15679160</v>
      </c>
      <c r="F23" s="15">
        <f t="shared" si="3"/>
        <v>5005</v>
      </c>
      <c r="G23" s="14">
        <v>448</v>
      </c>
    </row>
    <row r="24" spans="1:7" ht="12.75">
      <c r="A24" s="20">
        <f t="shared" si="2"/>
        <v>41447</v>
      </c>
      <c r="B24" s="14">
        <v>322585189.52</v>
      </c>
      <c r="C24" s="14">
        <v>1660670.52</v>
      </c>
      <c r="D24" s="14">
        <f t="shared" si="0"/>
        <v>306314942</v>
      </c>
      <c r="E24" s="14">
        <v>14609577</v>
      </c>
      <c r="F24" s="15">
        <f t="shared" si="3"/>
        <v>5005</v>
      </c>
      <c r="G24" s="14">
        <v>417</v>
      </c>
    </row>
    <row r="25" spans="1:7" ht="12.75">
      <c r="A25" s="20">
        <f t="shared" si="2"/>
        <v>41454</v>
      </c>
      <c r="B25" s="14">
        <v>316940696.76</v>
      </c>
      <c r="C25" s="14">
        <v>1608967.76</v>
      </c>
      <c r="D25" s="14">
        <f t="shared" si="0"/>
        <v>299917533</v>
      </c>
      <c r="E25" s="14">
        <v>15414196</v>
      </c>
      <c r="F25" s="15">
        <f t="shared" si="3"/>
        <v>5005</v>
      </c>
      <c r="G25" s="14">
        <v>440</v>
      </c>
    </row>
    <row r="26" spans="1:7" ht="12.75">
      <c r="A26" s="20">
        <f t="shared" si="2"/>
        <v>41461</v>
      </c>
      <c r="B26" s="14">
        <v>363826855.9</v>
      </c>
      <c r="C26" s="14">
        <v>1757177.9</v>
      </c>
      <c r="D26" s="14">
        <f t="shared" si="0"/>
        <v>344735327</v>
      </c>
      <c r="E26" s="14">
        <v>17334351</v>
      </c>
      <c r="F26" s="15">
        <f aca="true" t="shared" si="4" ref="F26:F31">35035/7</f>
        <v>5005</v>
      </c>
      <c r="G26" s="14">
        <v>495</v>
      </c>
    </row>
    <row r="27" spans="1:7" ht="12.75">
      <c r="A27" s="20">
        <f t="shared" si="2"/>
        <v>41468</v>
      </c>
      <c r="B27" s="14">
        <v>323357750.49</v>
      </c>
      <c r="C27" s="14">
        <v>1506025.49</v>
      </c>
      <c r="D27" s="14">
        <f t="shared" si="0"/>
        <v>306722024</v>
      </c>
      <c r="E27" s="14">
        <v>15129701</v>
      </c>
      <c r="F27" s="15">
        <f t="shared" si="4"/>
        <v>5005</v>
      </c>
      <c r="G27" s="14">
        <v>432</v>
      </c>
    </row>
    <row r="28" spans="1:7" ht="12.75">
      <c r="A28" s="20">
        <f t="shared" si="2"/>
        <v>41475</v>
      </c>
      <c r="B28" s="14">
        <v>318748804.39</v>
      </c>
      <c r="C28" s="14">
        <v>1465081.39</v>
      </c>
      <c r="D28" s="14">
        <f t="shared" si="0"/>
        <v>302093695</v>
      </c>
      <c r="E28" s="14">
        <v>15190028</v>
      </c>
      <c r="F28" s="15">
        <f t="shared" si="4"/>
        <v>5005</v>
      </c>
      <c r="G28" s="14">
        <v>434</v>
      </c>
    </row>
    <row r="29" spans="1:7" ht="12.75">
      <c r="A29" s="20">
        <f t="shared" si="2"/>
        <v>41482</v>
      </c>
      <c r="B29" s="14">
        <v>318832178.22</v>
      </c>
      <c r="C29" s="14">
        <v>1433249.22</v>
      </c>
      <c r="D29" s="14">
        <f t="shared" si="0"/>
        <v>302640996</v>
      </c>
      <c r="E29" s="14">
        <v>14757933</v>
      </c>
      <c r="F29" s="15">
        <f t="shared" si="4"/>
        <v>5005</v>
      </c>
      <c r="G29" s="14">
        <v>421</v>
      </c>
    </row>
    <row r="30" spans="1:7" ht="12.75">
      <c r="A30" s="20">
        <f t="shared" si="2"/>
        <v>41489</v>
      </c>
      <c r="B30" s="14">
        <v>330948829.13</v>
      </c>
      <c r="C30" s="14">
        <v>1609783.13</v>
      </c>
      <c r="D30" s="14">
        <f t="shared" si="0"/>
        <v>313778811</v>
      </c>
      <c r="E30" s="14">
        <v>15560235</v>
      </c>
      <c r="F30" s="15">
        <f t="shared" si="4"/>
        <v>5005</v>
      </c>
      <c r="G30" s="14">
        <v>444</v>
      </c>
    </row>
    <row r="31" spans="1:7" ht="12.75">
      <c r="A31" s="20">
        <f t="shared" si="2"/>
        <v>41496</v>
      </c>
      <c r="B31" s="14">
        <v>326399432.55</v>
      </c>
      <c r="C31" s="14">
        <v>1444928.55</v>
      </c>
      <c r="D31" s="14">
        <f t="shared" si="0"/>
        <v>310025462</v>
      </c>
      <c r="E31" s="14">
        <v>14929042</v>
      </c>
      <c r="F31" s="15">
        <f t="shared" si="4"/>
        <v>5005</v>
      </c>
      <c r="G31" s="14">
        <v>426</v>
      </c>
    </row>
    <row r="32" spans="1:7" ht="12.75">
      <c r="A32" s="20">
        <f t="shared" si="2"/>
        <v>41503</v>
      </c>
      <c r="B32" s="14">
        <v>330826633.6</v>
      </c>
      <c r="C32" s="14">
        <v>1460517.6</v>
      </c>
      <c r="D32" s="14">
        <f t="shared" si="0"/>
        <v>313464256</v>
      </c>
      <c r="E32" s="14">
        <v>15901860</v>
      </c>
      <c r="F32" s="15">
        <f aca="true" t="shared" si="5" ref="F32:F37">35035/7</f>
        <v>5005</v>
      </c>
      <c r="G32" s="14">
        <v>454</v>
      </c>
    </row>
    <row r="33" spans="1:7" ht="12.75">
      <c r="A33" s="20">
        <f t="shared" si="2"/>
        <v>41510</v>
      </c>
      <c r="B33" s="14">
        <v>327552998.85</v>
      </c>
      <c r="C33" s="14">
        <v>1564639.85</v>
      </c>
      <c r="D33" s="14">
        <f t="shared" si="0"/>
        <v>310359076</v>
      </c>
      <c r="E33" s="14">
        <v>15629283</v>
      </c>
      <c r="F33" s="15">
        <f t="shared" si="5"/>
        <v>5005</v>
      </c>
      <c r="G33" s="14">
        <v>446</v>
      </c>
    </row>
    <row r="34" spans="1:7" ht="12.75">
      <c r="A34" s="20">
        <f t="shared" si="2"/>
        <v>41517</v>
      </c>
      <c r="B34" s="14">
        <v>324643474.79</v>
      </c>
      <c r="C34" s="14">
        <v>1542987.79</v>
      </c>
      <c r="D34" s="14">
        <f t="shared" si="0"/>
        <v>307467998</v>
      </c>
      <c r="E34" s="14">
        <v>15632489</v>
      </c>
      <c r="F34" s="15">
        <f t="shared" si="5"/>
        <v>5005</v>
      </c>
      <c r="G34" s="14">
        <v>446</v>
      </c>
    </row>
    <row r="35" spans="1:7" ht="12.75">
      <c r="A35" s="20">
        <f t="shared" si="2"/>
        <v>41524</v>
      </c>
      <c r="B35" s="14">
        <v>349173027.37</v>
      </c>
      <c r="C35" s="14">
        <v>1804493.37</v>
      </c>
      <c r="D35" s="14">
        <f t="shared" si="0"/>
        <v>330237025</v>
      </c>
      <c r="E35" s="14">
        <v>17131509</v>
      </c>
      <c r="F35" s="15">
        <f t="shared" si="5"/>
        <v>5005</v>
      </c>
      <c r="G35" s="14">
        <v>489</v>
      </c>
    </row>
    <row r="36" spans="1:7" ht="12.75">
      <c r="A36" s="20">
        <f t="shared" si="2"/>
        <v>41531</v>
      </c>
      <c r="B36" s="14">
        <v>314079940.89</v>
      </c>
      <c r="C36" s="14">
        <v>1614700.89</v>
      </c>
      <c r="D36" s="14">
        <f t="shared" si="0"/>
        <v>298388237</v>
      </c>
      <c r="E36" s="14">
        <v>14077003</v>
      </c>
      <c r="F36" s="15">
        <f t="shared" si="5"/>
        <v>5005</v>
      </c>
      <c r="G36" s="14">
        <v>402</v>
      </c>
    </row>
    <row r="37" spans="1:7" ht="12.75">
      <c r="A37" s="20">
        <f t="shared" si="2"/>
        <v>41538</v>
      </c>
      <c r="B37" s="14">
        <v>325003171.68</v>
      </c>
      <c r="C37" s="14">
        <f>1466762.68-19552</f>
        <v>1447210.68</v>
      </c>
      <c r="D37" s="14">
        <f t="shared" si="0"/>
        <v>308999071</v>
      </c>
      <c r="E37" s="14">
        <v>14556890</v>
      </c>
      <c r="F37" s="15">
        <f t="shared" si="5"/>
        <v>5005</v>
      </c>
      <c r="G37" s="14">
        <v>415</v>
      </c>
    </row>
    <row r="38" spans="1:7" ht="12.75">
      <c r="A38" s="20">
        <f t="shared" si="2"/>
        <v>41545</v>
      </c>
      <c r="B38" s="14">
        <v>321654541.95</v>
      </c>
      <c r="C38" s="14">
        <v>1585786.95</v>
      </c>
      <c r="D38" s="14">
        <f t="shared" si="0"/>
        <v>305021799</v>
      </c>
      <c r="E38" s="14">
        <v>15046956</v>
      </c>
      <c r="F38" s="15">
        <f aca="true" t="shared" si="6" ref="F38:F44">35035/7</f>
        <v>5005</v>
      </c>
      <c r="G38" s="14">
        <v>429</v>
      </c>
    </row>
    <row r="39" spans="1:7" ht="12.75">
      <c r="A39" s="20">
        <f t="shared" si="2"/>
        <v>41552</v>
      </c>
      <c r="B39" s="14">
        <v>337703148.92</v>
      </c>
      <c r="C39" s="14">
        <v>1499236.92</v>
      </c>
      <c r="D39" s="14">
        <f t="shared" si="0"/>
        <v>321393347</v>
      </c>
      <c r="E39" s="14">
        <v>14810565</v>
      </c>
      <c r="F39" s="15">
        <f t="shared" si="6"/>
        <v>5005</v>
      </c>
      <c r="G39" s="14">
        <v>423</v>
      </c>
    </row>
    <row r="40" spans="1:7" ht="12.75">
      <c r="A40" s="20">
        <f t="shared" si="2"/>
        <v>41559</v>
      </c>
      <c r="B40" s="14">
        <v>335471053.19</v>
      </c>
      <c r="C40" s="14">
        <v>1334241.19</v>
      </c>
      <c r="D40" s="14">
        <f t="shared" si="0"/>
        <v>318969810</v>
      </c>
      <c r="E40" s="14">
        <v>15167002</v>
      </c>
      <c r="F40" s="15">
        <f t="shared" si="6"/>
        <v>5005</v>
      </c>
      <c r="G40" s="14">
        <v>433</v>
      </c>
    </row>
    <row r="41" spans="1:7" ht="12.75">
      <c r="A41" s="20">
        <f t="shared" si="2"/>
        <v>41566</v>
      </c>
      <c r="B41" s="14">
        <v>346442539.17</v>
      </c>
      <c r="C41" s="14">
        <v>1523122.17</v>
      </c>
      <c r="D41" s="14">
        <f t="shared" si="0"/>
        <v>329962799</v>
      </c>
      <c r="E41" s="14">
        <v>14956618</v>
      </c>
      <c r="F41" s="15">
        <f t="shared" si="6"/>
        <v>5005</v>
      </c>
      <c r="G41" s="14">
        <v>427</v>
      </c>
    </row>
    <row r="42" spans="1:7" ht="12.75">
      <c r="A42" s="20">
        <f t="shared" si="2"/>
        <v>41573</v>
      </c>
      <c r="B42" s="14">
        <v>325510287.43</v>
      </c>
      <c r="C42" s="14">
        <f>1263783.43-201732</f>
        <v>1062051.43</v>
      </c>
      <c r="D42" s="14">
        <f t="shared" si="0"/>
        <v>309168404</v>
      </c>
      <c r="E42" s="14">
        <v>15279832</v>
      </c>
      <c r="F42" s="15">
        <f t="shared" si="6"/>
        <v>5005</v>
      </c>
      <c r="G42" s="14">
        <v>436</v>
      </c>
    </row>
    <row r="43" spans="1:7" ht="12.75">
      <c r="A43" s="20">
        <f t="shared" si="2"/>
        <v>41580</v>
      </c>
      <c r="B43" s="14">
        <v>338515856.72</v>
      </c>
      <c r="C43" s="14">
        <v>1398799.72</v>
      </c>
      <c r="D43" s="14">
        <f t="shared" si="0"/>
        <v>321211083</v>
      </c>
      <c r="E43" s="14">
        <v>15905974</v>
      </c>
      <c r="F43" s="24">
        <f t="shared" si="6"/>
        <v>5005</v>
      </c>
      <c r="G43" s="14">
        <v>454</v>
      </c>
    </row>
    <row r="44" spans="1:7" ht="12.75">
      <c r="A44" s="20">
        <f t="shared" si="2"/>
        <v>41587</v>
      </c>
      <c r="B44" s="14">
        <v>328125745.88</v>
      </c>
      <c r="C44" s="14">
        <v>1328215.88</v>
      </c>
      <c r="D44" s="14">
        <f t="shared" si="0"/>
        <v>312713913</v>
      </c>
      <c r="E44" s="14">
        <v>14083617</v>
      </c>
      <c r="F44" s="24">
        <f t="shared" si="6"/>
        <v>5005</v>
      </c>
      <c r="G44" s="14">
        <v>402</v>
      </c>
    </row>
    <row r="45" spans="1:7" ht="12.75">
      <c r="A45" s="20">
        <f t="shared" si="2"/>
        <v>41594</v>
      </c>
      <c r="B45" s="14">
        <v>320505515.16</v>
      </c>
      <c r="C45" s="14">
        <v>1320372.16</v>
      </c>
      <c r="D45" s="14">
        <f t="shared" si="0"/>
        <v>304995564</v>
      </c>
      <c r="E45" s="14">
        <v>14189579</v>
      </c>
      <c r="F45" s="15">
        <f aca="true" t="shared" si="7" ref="F45:F50">35035/7</f>
        <v>5005</v>
      </c>
      <c r="G45" s="14">
        <v>405</v>
      </c>
    </row>
    <row r="46" spans="1:7" ht="12.75">
      <c r="A46" s="20">
        <f t="shared" si="2"/>
        <v>41601</v>
      </c>
      <c r="B46" s="14">
        <v>319581445.31</v>
      </c>
      <c r="C46" s="14">
        <v>1061716.31</v>
      </c>
      <c r="D46" s="14">
        <f t="shared" si="0"/>
        <v>304642751</v>
      </c>
      <c r="E46" s="14">
        <v>13876978</v>
      </c>
      <c r="F46" s="15">
        <f t="shared" si="7"/>
        <v>5005</v>
      </c>
      <c r="G46" s="14">
        <v>396</v>
      </c>
    </row>
    <row r="47" spans="1:7" ht="12.75">
      <c r="A47" s="20">
        <f t="shared" si="2"/>
        <v>41608</v>
      </c>
      <c r="B47" s="14">
        <v>334030121.95</v>
      </c>
      <c r="C47" s="14">
        <f>1155511.95-52758</f>
        <v>1102753.95</v>
      </c>
      <c r="D47" s="14">
        <f t="shared" si="0"/>
        <v>318050884</v>
      </c>
      <c r="E47" s="14">
        <v>14876484</v>
      </c>
      <c r="F47" s="15">
        <f t="shared" si="7"/>
        <v>5005</v>
      </c>
      <c r="G47" s="14">
        <v>425</v>
      </c>
    </row>
    <row r="48" spans="1:7" ht="12.75">
      <c r="A48" s="20">
        <f t="shared" si="2"/>
        <v>41615</v>
      </c>
      <c r="B48" s="14">
        <v>325812885.19</v>
      </c>
      <c r="C48" s="14">
        <v>1216296.19</v>
      </c>
      <c r="D48" s="14">
        <f t="shared" si="0"/>
        <v>309640759</v>
      </c>
      <c r="E48" s="14">
        <v>14955830</v>
      </c>
      <c r="F48" s="15">
        <f t="shared" si="7"/>
        <v>5005</v>
      </c>
      <c r="G48" s="14">
        <v>427</v>
      </c>
    </row>
    <row r="49" spans="1:7" ht="12.75">
      <c r="A49" s="20">
        <f t="shared" si="2"/>
        <v>41622</v>
      </c>
      <c r="B49" s="14">
        <v>283778607.34</v>
      </c>
      <c r="C49" s="14">
        <v>1053632.34</v>
      </c>
      <c r="D49" s="14">
        <f t="shared" si="0"/>
        <v>270581517</v>
      </c>
      <c r="E49" s="14">
        <v>12143458</v>
      </c>
      <c r="F49" s="15">
        <f t="shared" si="7"/>
        <v>5005</v>
      </c>
      <c r="G49" s="14">
        <v>347</v>
      </c>
    </row>
    <row r="50" spans="1:7" ht="12.75">
      <c r="A50" s="20">
        <f t="shared" si="2"/>
        <v>41629</v>
      </c>
      <c r="B50" s="14">
        <v>311753327.41</v>
      </c>
      <c r="C50" s="14">
        <v>1135924.41</v>
      </c>
      <c r="D50" s="14">
        <f t="shared" si="0"/>
        <v>296296047</v>
      </c>
      <c r="E50" s="14">
        <v>14321356</v>
      </c>
      <c r="F50" s="15">
        <f t="shared" si="7"/>
        <v>5005</v>
      </c>
      <c r="G50" s="14">
        <v>409</v>
      </c>
    </row>
    <row r="51" spans="1:7" ht="12.75">
      <c r="A51" s="20">
        <f t="shared" si="2"/>
        <v>41636</v>
      </c>
      <c r="B51" s="14">
        <v>354588488.91</v>
      </c>
      <c r="C51" s="14">
        <v>1525066.91</v>
      </c>
      <c r="D51" s="14">
        <f t="shared" si="0"/>
        <v>336847335</v>
      </c>
      <c r="E51" s="14">
        <v>16216087</v>
      </c>
      <c r="F51" s="15">
        <f>35035/7</f>
        <v>5005</v>
      </c>
      <c r="G51" s="14">
        <v>463</v>
      </c>
    </row>
    <row r="52" spans="1:7" ht="12.75">
      <c r="A52" s="20">
        <f t="shared" si="2"/>
        <v>41643</v>
      </c>
      <c r="B52" s="14">
        <v>325157037.09</v>
      </c>
      <c r="C52" s="14">
        <v>1331259.09</v>
      </c>
      <c r="D52" s="14">
        <f t="shared" si="0"/>
        <v>308849386</v>
      </c>
      <c r="E52" s="14">
        <v>14976392</v>
      </c>
      <c r="F52" s="15">
        <f>35035/7</f>
        <v>5005</v>
      </c>
      <c r="G52" s="14">
        <v>427</v>
      </c>
    </row>
    <row r="53" spans="1:7" ht="12.75">
      <c r="A53" s="20">
        <f t="shared" si="2"/>
        <v>41650</v>
      </c>
      <c r="B53" s="14">
        <v>312035919.77</v>
      </c>
      <c r="C53" s="14">
        <v>1181825.77</v>
      </c>
      <c r="D53" s="14">
        <f t="shared" si="0"/>
        <v>296887043</v>
      </c>
      <c r="E53" s="14">
        <v>13967051</v>
      </c>
      <c r="F53" s="15">
        <f>35035/7</f>
        <v>5005</v>
      </c>
      <c r="G53" s="14">
        <v>399</v>
      </c>
    </row>
    <row r="54" spans="1:7" ht="12.75">
      <c r="A54" s="20">
        <f t="shared" si="2"/>
        <v>41657</v>
      </c>
      <c r="B54" s="14">
        <v>327688073.96</v>
      </c>
      <c r="C54" s="14">
        <v>1331591.96</v>
      </c>
      <c r="D54" s="14">
        <f t="shared" si="0"/>
        <v>311534553</v>
      </c>
      <c r="E54" s="14">
        <v>14821929</v>
      </c>
      <c r="F54" s="15">
        <f>35035/7</f>
        <v>5005</v>
      </c>
      <c r="G54" s="14">
        <v>423</v>
      </c>
    </row>
    <row r="55" spans="1:7" ht="12.75">
      <c r="A55" s="20">
        <f t="shared" si="2"/>
        <v>41664</v>
      </c>
      <c r="B55" s="14">
        <v>290350244.59</v>
      </c>
      <c r="C55" s="14">
        <v>1197112.59</v>
      </c>
      <c r="D55" s="14">
        <f t="shared" si="0"/>
        <v>276663306</v>
      </c>
      <c r="E55" s="14">
        <v>12489826</v>
      </c>
      <c r="F55" s="15">
        <f>34947/7</f>
        <v>4992.428571428572</v>
      </c>
      <c r="G55" s="14">
        <v>357</v>
      </c>
    </row>
    <row r="56" spans="1:7" ht="12.75">
      <c r="A56" s="20">
        <f t="shared" si="2"/>
        <v>41671</v>
      </c>
      <c r="B56" s="14">
        <v>324940519.81</v>
      </c>
      <c r="C56" s="14">
        <v>1281180.81</v>
      </c>
      <c r="D56" s="14">
        <f t="shared" si="0"/>
        <v>308952513</v>
      </c>
      <c r="E56" s="14">
        <v>14706826</v>
      </c>
      <c r="F56" s="15">
        <f>35019/7</f>
        <v>5002.714285714285</v>
      </c>
      <c r="G56" s="14">
        <v>420</v>
      </c>
    </row>
    <row r="57" spans="1:7" ht="12.75">
      <c r="A57" s="20">
        <f t="shared" si="2"/>
        <v>41678</v>
      </c>
      <c r="B57" s="14">
        <v>319875770.42</v>
      </c>
      <c r="C57" s="14">
        <v>1267305.42</v>
      </c>
      <c r="D57" s="14">
        <f t="shared" si="0"/>
        <v>304373216</v>
      </c>
      <c r="E57" s="14">
        <v>14235249</v>
      </c>
      <c r="F57" s="15">
        <f aca="true" t="shared" si="8" ref="F57:F62">35035/7</f>
        <v>5005</v>
      </c>
      <c r="G57" s="14">
        <v>406</v>
      </c>
    </row>
    <row r="58" spans="1:7" ht="12.75">
      <c r="A58" s="20">
        <f t="shared" si="2"/>
        <v>41685</v>
      </c>
      <c r="B58" s="14">
        <v>300300594.57</v>
      </c>
      <c r="C58" s="14">
        <v>1343362.57</v>
      </c>
      <c r="D58" s="14">
        <f t="shared" si="0"/>
        <v>285744823</v>
      </c>
      <c r="E58" s="14">
        <v>13212409</v>
      </c>
      <c r="F58" s="15">
        <f t="shared" si="8"/>
        <v>5005</v>
      </c>
      <c r="G58" s="14">
        <v>377</v>
      </c>
    </row>
    <row r="59" spans="1:7" ht="12.75">
      <c r="A59" s="20">
        <f t="shared" si="2"/>
        <v>41692</v>
      </c>
      <c r="B59" s="14">
        <v>348798855.01</v>
      </c>
      <c r="C59" s="14">
        <v>1535033.01</v>
      </c>
      <c r="D59" s="14">
        <f t="shared" si="0"/>
        <v>330528347</v>
      </c>
      <c r="E59" s="14">
        <v>16735475</v>
      </c>
      <c r="F59" s="15">
        <f t="shared" si="8"/>
        <v>5005</v>
      </c>
      <c r="G59" s="14">
        <v>478</v>
      </c>
    </row>
    <row r="60" spans="1:7" ht="12.75">
      <c r="A60" s="20">
        <f t="shared" si="2"/>
        <v>41699</v>
      </c>
      <c r="B60" s="14">
        <v>357930998.8</v>
      </c>
      <c r="C60" s="14">
        <v>1578529.8</v>
      </c>
      <c r="D60" s="14">
        <f t="shared" si="0"/>
        <v>339586934</v>
      </c>
      <c r="E60" s="14">
        <v>16765535</v>
      </c>
      <c r="F60" s="15">
        <f t="shared" si="8"/>
        <v>5005</v>
      </c>
      <c r="G60" s="14">
        <v>479</v>
      </c>
    </row>
    <row r="61" spans="1:7" ht="12.75">
      <c r="A61" s="20">
        <f t="shared" si="2"/>
        <v>41706</v>
      </c>
      <c r="B61" s="14">
        <v>354167071.14</v>
      </c>
      <c r="C61" s="14">
        <v>1567166.14</v>
      </c>
      <c r="D61" s="14">
        <f t="shared" si="0"/>
        <v>336010893</v>
      </c>
      <c r="E61" s="14">
        <v>16589012</v>
      </c>
      <c r="F61" s="15">
        <f t="shared" si="8"/>
        <v>5005</v>
      </c>
      <c r="G61" s="14">
        <v>473</v>
      </c>
    </row>
    <row r="62" spans="1:7" ht="12.75">
      <c r="A62" s="20">
        <f t="shared" si="2"/>
        <v>41713</v>
      </c>
      <c r="B62" s="14">
        <v>355770473.48</v>
      </c>
      <c r="C62" s="14">
        <v>1791383.48</v>
      </c>
      <c r="D62" s="14">
        <f t="shared" si="0"/>
        <v>337223318</v>
      </c>
      <c r="E62" s="14">
        <v>16755772</v>
      </c>
      <c r="F62" s="15">
        <f t="shared" si="8"/>
        <v>5005</v>
      </c>
      <c r="G62" s="14">
        <v>478</v>
      </c>
    </row>
    <row r="63" spans="1:7" ht="12.75">
      <c r="A63" s="20">
        <f t="shared" si="2"/>
        <v>41720</v>
      </c>
      <c r="B63" s="14">
        <v>347095445.12</v>
      </c>
      <c r="C63" s="14">
        <v>1777006.12</v>
      </c>
      <c r="D63" s="14">
        <f t="shared" si="0"/>
        <v>329137758</v>
      </c>
      <c r="E63" s="14">
        <v>16180681</v>
      </c>
      <c r="F63" s="15">
        <f>35035/7</f>
        <v>5005</v>
      </c>
      <c r="G63" s="14">
        <v>462</v>
      </c>
    </row>
    <row r="64" ht="12.75">
      <c r="A64" s="20"/>
    </row>
    <row r="65" spans="1:7" s="19" customFormat="1" ht="13.5" thickBot="1">
      <c r="A65" s="2" t="s">
        <v>8</v>
      </c>
      <c r="B65" s="16">
        <f>SUM(B12:B63)</f>
        <v>17115214096.96</v>
      </c>
      <c r="C65" s="16">
        <f>SUM(C12:C63)</f>
        <v>75517756.96000002</v>
      </c>
      <c r="D65" s="16">
        <f>SUM(D12:D63)</f>
        <v>16249345741</v>
      </c>
      <c r="E65" s="16">
        <f>SUM(E12:E63)</f>
        <v>790350599</v>
      </c>
      <c r="F65" s="21">
        <f>SUM(F12:F64)/COUNT(F12:F64)</f>
        <v>5004.434065934066</v>
      </c>
      <c r="G65" s="16">
        <f>+E65/SUM(F12:F64)/7</f>
        <v>433.87380586666546</v>
      </c>
    </row>
    <row r="66" spans="1:7" ht="13.5" thickTop="1">
      <c r="A66" s="17"/>
      <c r="B66" s="18"/>
      <c r="C66" s="18"/>
      <c r="D66" s="18"/>
      <c r="E66" s="18"/>
      <c r="F66" s="19"/>
      <c r="G66" s="19"/>
    </row>
  </sheetData>
  <sheetProtection/>
  <mergeCells count="6">
    <mergeCell ref="A7:G7"/>
    <mergeCell ref="A1:G1"/>
    <mergeCell ref="A2:G2"/>
    <mergeCell ref="A3:G3"/>
    <mergeCell ref="A4:G4"/>
    <mergeCell ref="C5:D5"/>
  </mergeCells>
  <hyperlinks>
    <hyperlink ref="A4" r:id="rId1" display="www.rwnewyork.com"/>
  </hyperlinks>
  <printOptions horizontalCentered="1"/>
  <pageMargins left="0" right="0" top="0.5" bottom="0.25" header="0.5" footer="0.5"/>
  <pageSetup fitToHeight="1" fitToWidth="1" horizontalDpi="600" verticalDpi="600" orientation="portrait" scale="87" r:id="rId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C29" sqref="C29"/>
    </sheetView>
  </sheetViews>
  <sheetFormatPr defaultColWidth="9.140625" defaultRowHeight="12.75"/>
  <cols>
    <col min="1" max="1" width="15.7109375" style="2" customWidth="1"/>
    <col min="2" max="3" width="16.28125" style="14" customWidth="1"/>
    <col min="4" max="4" width="15.7109375" style="14" customWidth="1"/>
    <col min="5" max="5" width="15.00390625" style="14" customWidth="1"/>
    <col min="6" max="6" width="10.140625" style="15" customWidth="1"/>
    <col min="7" max="7" width="11.57421875" style="14" customWidth="1"/>
  </cols>
  <sheetData>
    <row r="1" spans="1:7" ht="18">
      <c r="A1" s="28" t="s">
        <v>16</v>
      </c>
      <c r="B1" s="28"/>
      <c r="C1" s="28"/>
      <c r="D1" s="28"/>
      <c r="E1" s="28"/>
      <c r="F1" s="28"/>
      <c r="G1" s="28"/>
    </row>
    <row r="2" spans="1:7" ht="15">
      <c r="A2" s="29" t="s">
        <v>12</v>
      </c>
      <c r="B2" s="29"/>
      <c r="C2" s="29"/>
      <c r="D2" s="29"/>
      <c r="E2" s="29"/>
      <c r="F2" s="29"/>
      <c r="G2" s="29"/>
    </row>
    <row r="3" spans="1:7" s="1" customFormat="1" ht="15">
      <c r="A3" s="29" t="s">
        <v>13</v>
      </c>
      <c r="B3" s="29"/>
      <c r="C3" s="29"/>
      <c r="D3" s="29"/>
      <c r="E3" s="29"/>
      <c r="F3" s="29"/>
      <c r="G3" s="29"/>
    </row>
    <row r="4" spans="1:7" s="1" customFormat="1" ht="15">
      <c r="A4" s="30" t="s">
        <v>14</v>
      </c>
      <c r="B4" s="30"/>
      <c r="C4" s="30"/>
      <c r="D4" s="30"/>
      <c r="E4" s="30"/>
      <c r="F4" s="30"/>
      <c r="G4" s="30"/>
    </row>
    <row r="5" spans="1:7" s="1" customFormat="1" ht="14.25">
      <c r="A5" s="23"/>
      <c r="B5" s="22"/>
      <c r="C5" s="31" t="s">
        <v>15</v>
      </c>
      <c r="D5" s="31"/>
      <c r="E5" s="22"/>
      <c r="F5" s="22"/>
      <c r="G5" s="22"/>
    </row>
    <row r="6" spans="1:7" s="6" customFormat="1" ht="8.25" customHeight="1">
      <c r="A6" s="2"/>
      <c r="B6" s="3"/>
      <c r="C6" s="3"/>
      <c r="D6" s="3"/>
      <c r="E6" s="4"/>
      <c r="F6" s="5"/>
      <c r="G6" s="4"/>
    </row>
    <row r="7" spans="1:7" s="1" customFormat="1" ht="12" customHeight="1">
      <c r="A7" s="32" t="s">
        <v>17</v>
      </c>
      <c r="B7" s="33"/>
      <c r="C7" s="33"/>
      <c r="D7" s="33"/>
      <c r="E7" s="33"/>
      <c r="F7" s="33"/>
      <c r="G7" s="34"/>
    </row>
    <row r="8" spans="1:7" s="11" customFormat="1" ht="12.75">
      <c r="A8" s="2"/>
      <c r="B8" s="3"/>
      <c r="C8" s="3"/>
      <c r="D8" s="3"/>
      <c r="E8" s="4"/>
      <c r="F8" s="5"/>
      <c r="G8" s="4"/>
    </row>
    <row r="9" spans="1:7" s="11" customFormat="1" ht="12">
      <c r="A9" s="8"/>
      <c r="B9" s="9" t="s">
        <v>0</v>
      </c>
      <c r="C9" s="9" t="s">
        <v>11</v>
      </c>
      <c r="D9" s="9" t="s">
        <v>0</v>
      </c>
      <c r="E9" s="9"/>
      <c r="F9" s="10" t="s">
        <v>1</v>
      </c>
      <c r="G9" s="9" t="s">
        <v>2</v>
      </c>
    </row>
    <row r="10" spans="1:7" ht="12.75">
      <c r="A10" s="12" t="s">
        <v>9</v>
      </c>
      <c r="B10" s="7" t="s">
        <v>3</v>
      </c>
      <c r="C10" s="7" t="s">
        <v>18</v>
      </c>
      <c r="D10" s="7" t="s">
        <v>4</v>
      </c>
      <c r="E10" s="7" t="s">
        <v>5</v>
      </c>
      <c r="F10" s="13" t="s">
        <v>6</v>
      </c>
      <c r="G10" s="7" t="s">
        <v>7</v>
      </c>
    </row>
    <row r="12" spans="1:7" ht="12.75">
      <c r="A12" s="20">
        <v>40999</v>
      </c>
      <c r="B12" s="14">
        <v>247537068.61</v>
      </c>
      <c r="C12" s="14">
        <v>575087.61</v>
      </c>
      <c r="D12" s="14">
        <f aca="true" t="shared" si="0" ref="D12:D63">B12-C12-E12</f>
        <v>234724460</v>
      </c>
      <c r="E12" s="14">
        <v>12237521</v>
      </c>
      <c r="F12" s="15">
        <f>34944/7</f>
        <v>4992</v>
      </c>
      <c r="G12" s="14">
        <v>350</v>
      </c>
    </row>
    <row r="13" spans="1:7" ht="12.75">
      <c r="A13" s="20">
        <f aca="true" t="shared" si="1" ref="A13:A63">+A12+7</f>
        <v>41006</v>
      </c>
      <c r="B13" s="14">
        <v>259848787.96</v>
      </c>
      <c r="C13" s="14">
        <v>568937.96</v>
      </c>
      <c r="D13" s="14">
        <f t="shared" si="0"/>
        <v>245491813</v>
      </c>
      <c r="E13" s="14">
        <v>13788037</v>
      </c>
      <c r="F13" s="15">
        <f>34944/7</f>
        <v>4992</v>
      </c>
      <c r="G13" s="14">
        <v>395</v>
      </c>
    </row>
    <row r="14" spans="1:7" ht="12.75">
      <c r="A14" s="20">
        <f t="shared" si="1"/>
        <v>41013</v>
      </c>
      <c r="B14" s="14">
        <v>264065866.06</v>
      </c>
      <c r="C14" s="14">
        <v>711753.06</v>
      </c>
      <c r="D14" s="14">
        <f t="shared" si="0"/>
        <v>249630625</v>
      </c>
      <c r="E14" s="14">
        <v>13723488</v>
      </c>
      <c r="F14" s="15">
        <f>34554/7</f>
        <v>4936.285714285715</v>
      </c>
      <c r="G14" s="14">
        <v>397</v>
      </c>
    </row>
    <row r="15" spans="1:7" ht="12.75">
      <c r="A15" s="20">
        <f t="shared" si="1"/>
        <v>41020</v>
      </c>
      <c r="B15" s="14">
        <v>254312378.62</v>
      </c>
      <c r="C15" s="14">
        <v>642319.62</v>
      </c>
      <c r="D15" s="14">
        <f t="shared" si="0"/>
        <v>240561003</v>
      </c>
      <c r="E15" s="14">
        <v>13109056</v>
      </c>
      <c r="F15" s="15">
        <f>34489/7</f>
        <v>4927</v>
      </c>
      <c r="G15" s="14">
        <v>380</v>
      </c>
    </row>
    <row r="16" spans="1:7" ht="12.75">
      <c r="A16" s="20">
        <f t="shared" si="1"/>
        <v>41027</v>
      </c>
      <c r="B16" s="14">
        <v>251136726.78</v>
      </c>
      <c r="C16" s="14">
        <v>593836.78</v>
      </c>
      <c r="D16" s="14">
        <f t="shared" si="0"/>
        <v>237323467</v>
      </c>
      <c r="E16" s="14">
        <v>13219423</v>
      </c>
      <c r="F16" s="15">
        <f>34489/7</f>
        <v>4927</v>
      </c>
      <c r="G16" s="14">
        <v>383</v>
      </c>
    </row>
    <row r="17" spans="1:7" ht="12.75">
      <c r="A17" s="20">
        <f t="shared" si="1"/>
        <v>41034</v>
      </c>
      <c r="B17" s="14">
        <v>259237193.78</v>
      </c>
      <c r="C17" s="14">
        <v>593234.78</v>
      </c>
      <c r="D17" s="14">
        <f t="shared" si="0"/>
        <v>245112337</v>
      </c>
      <c r="E17" s="14">
        <v>13531622</v>
      </c>
      <c r="F17" s="15">
        <f>34516/7</f>
        <v>4930.857142857143</v>
      </c>
      <c r="G17" s="14">
        <v>392</v>
      </c>
    </row>
    <row r="18" spans="1:7" ht="12.75">
      <c r="A18" s="20">
        <f t="shared" si="1"/>
        <v>41041</v>
      </c>
      <c r="B18" s="14">
        <v>246909883.29</v>
      </c>
      <c r="C18" s="14">
        <v>625664.29</v>
      </c>
      <c r="D18" s="14">
        <f t="shared" si="0"/>
        <v>233503921</v>
      </c>
      <c r="E18" s="14">
        <v>12780298</v>
      </c>
      <c r="F18" s="15">
        <f>34531/7</f>
        <v>4933</v>
      </c>
      <c r="G18" s="14">
        <v>370</v>
      </c>
    </row>
    <row r="19" spans="1:7" ht="12.75">
      <c r="A19" s="20">
        <f t="shared" si="1"/>
        <v>41048</v>
      </c>
      <c r="B19" s="14">
        <v>246796665.24</v>
      </c>
      <c r="C19" s="14">
        <v>559204.24</v>
      </c>
      <c r="D19" s="14">
        <f t="shared" si="0"/>
        <v>232836529</v>
      </c>
      <c r="E19" s="14">
        <v>13400932</v>
      </c>
      <c r="F19" s="15">
        <f>34438/7</f>
        <v>4919.714285714285</v>
      </c>
      <c r="G19" s="14">
        <v>389</v>
      </c>
    </row>
    <row r="20" spans="1:7" ht="12.75">
      <c r="A20" s="20">
        <f t="shared" si="1"/>
        <v>41055</v>
      </c>
      <c r="B20" s="14">
        <v>235354683.77</v>
      </c>
      <c r="C20" s="14">
        <v>855447.77</v>
      </c>
      <c r="D20" s="14">
        <f t="shared" si="0"/>
        <v>221771270</v>
      </c>
      <c r="E20" s="14">
        <v>12727966</v>
      </c>
      <c r="F20" s="15">
        <f>34618/7</f>
        <v>4945.428571428572</v>
      </c>
      <c r="G20" s="14">
        <v>368</v>
      </c>
    </row>
    <row r="21" spans="1:7" ht="12.75">
      <c r="A21" s="20">
        <f t="shared" si="1"/>
        <v>41062</v>
      </c>
      <c r="B21" s="14">
        <v>247829490.22</v>
      </c>
      <c r="C21" s="14">
        <v>895927.22</v>
      </c>
      <c r="D21" s="14">
        <f t="shared" si="0"/>
        <v>233417940</v>
      </c>
      <c r="E21" s="14">
        <v>13515623</v>
      </c>
      <c r="F21" s="15">
        <f>34972/7</f>
        <v>4996</v>
      </c>
      <c r="G21" s="14">
        <v>386</v>
      </c>
    </row>
    <row r="22" spans="1:7" ht="12.75">
      <c r="A22" s="20">
        <f t="shared" si="1"/>
        <v>41069</v>
      </c>
      <c r="B22" s="14">
        <v>229143049.37</v>
      </c>
      <c r="C22" s="14">
        <v>826942.37</v>
      </c>
      <c r="D22" s="14">
        <f t="shared" si="0"/>
        <v>215342808</v>
      </c>
      <c r="E22" s="14">
        <v>12973299</v>
      </c>
      <c r="F22" s="15">
        <f>34972/7</f>
        <v>4996</v>
      </c>
      <c r="G22" s="14">
        <v>371</v>
      </c>
    </row>
    <row r="23" spans="1:7" ht="12.75">
      <c r="A23" s="20">
        <f t="shared" si="1"/>
        <v>41076</v>
      </c>
      <c r="B23" s="14">
        <v>224834384.09</v>
      </c>
      <c r="C23" s="14">
        <v>744095.09</v>
      </c>
      <c r="D23" s="14">
        <f t="shared" si="0"/>
        <v>212163651</v>
      </c>
      <c r="E23" s="14">
        <v>11926638</v>
      </c>
      <c r="F23" s="15">
        <f>34768/7</f>
        <v>4966.857142857143</v>
      </c>
      <c r="G23" s="14">
        <v>343</v>
      </c>
    </row>
    <row r="24" spans="1:7" ht="12.75">
      <c r="A24" s="20">
        <f t="shared" si="1"/>
        <v>41083</v>
      </c>
      <c r="B24" s="14">
        <v>225006450.49</v>
      </c>
      <c r="C24" s="14">
        <v>728423.49</v>
      </c>
      <c r="D24" s="14">
        <f t="shared" si="0"/>
        <v>212171076</v>
      </c>
      <c r="E24" s="14">
        <v>12106951</v>
      </c>
      <c r="F24" s="15">
        <f>34472/7</f>
        <v>4924.571428571428</v>
      </c>
      <c r="G24" s="14">
        <v>351</v>
      </c>
    </row>
    <row r="25" spans="1:7" ht="12.75">
      <c r="A25" s="20">
        <f t="shared" si="1"/>
        <v>41090</v>
      </c>
      <c r="B25" s="14">
        <v>234117284.69</v>
      </c>
      <c r="C25" s="14">
        <v>880907.69</v>
      </c>
      <c r="D25" s="14">
        <f t="shared" si="0"/>
        <v>220962358</v>
      </c>
      <c r="E25" s="14">
        <v>12274019</v>
      </c>
      <c r="F25" s="15">
        <f>34587/7</f>
        <v>4941</v>
      </c>
      <c r="G25" s="14">
        <v>355</v>
      </c>
    </row>
    <row r="26" spans="1:7" ht="12.75">
      <c r="A26" s="20">
        <f t="shared" si="1"/>
        <v>41097</v>
      </c>
      <c r="B26" s="14">
        <v>270175528.08</v>
      </c>
      <c r="C26" s="14">
        <v>1443930.08</v>
      </c>
      <c r="D26" s="14">
        <f t="shared" si="0"/>
        <v>253868549</v>
      </c>
      <c r="E26" s="14">
        <v>14863049</v>
      </c>
      <c r="F26" s="15">
        <f>34817/7</f>
        <v>4973.857142857143</v>
      </c>
      <c r="G26" s="14">
        <v>427</v>
      </c>
    </row>
    <row r="27" spans="1:7" ht="12.75">
      <c r="A27" s="20">
        <f t="shared" si="1"/>
        <v>41104</v>
      </c>
      <c r="B27" s="14">
        <v>252470984.7</v>
      </c>
      <c r="C27" s="14">
        <v>1158587.7</v>
      </c>
      <c r="D27" s="14">
        <f t="shared" si="0"/>
        <v>238023876</v>
      </c>
      <c r="E27" s="14">
        <v>13288521</v>
      </c>
      <c r="F27" s="15">
        <f aca="true" t="shared" si="2" ref="F27:F32">34909/7</f>
        <v>4987</v>
      </c>
      <c r="G27" s="14">
        <v>381</v>
      </c>
    </row>
    <row r="28" spans="1:7" ht="12.75">
      <c r="A28" s="20">
        <f t="shared" si="1"/>
        <v>41111</v>
      </c>
      <c r="B28" s="14">
        <v>258782075.21</v>
      </c>
      <c r="C28" s="14">
        <v>1119686.21</v>
      </c>
      <c r="D28" s="14">
        <f t="shared" si="0"/>
        <v>244375106</v>
      </c>
      <c r="E28" s="14">
        <v>13287283</v>
      </c>
      <c r="F28" s="15">
        <f t="shared" si="2"/>
        <v>4987</v>
      </c>
      <c r="G28" s="14">
        <v>381</v>
      </c>
    </row>
    <row r="29" spans="1:7" ht="12.75">
      <c r="A29" s="20">
        <f t="shared" si="1"/>
        <v>41118</v>
      </c>
      <c r="B29" s="14">
        <v>248697889.75</v>
      </c>
      <c r="C29" s="14">
        <v>1090737.75</v>
      </c>
      <c r="D29" s="14">
        <f t="shared" si="0"/>
        <v>234602764</v>
      </c>
      <c r="E29" s="14">
        <v>13004388</v>
      </c>
      <c r="F29" s="15">
        <f t="shared" si="2"/>
        <v>4987</v>
      </c>
      <c r="G29" s="14">
        <v>373</v>
      </c>
    </row>
    <row r="30" spans="1:7" ht="12.75">
      <c r="A30" s="20">
        <f t="shared" si="1"/>
        <v>41125</v>
      </c>
      <c r="B30" s="14">
        <v>259199271.47</v>
      </c>
      <c r="C30" s="14">
        <v>1265119.47</v>
      </c>
      <c r="D30" s="14">
        <f t="shared" si="0"/>
        <v>244172933</v>
      </c>
      <c r="E30" s="14">
        <v>13761219</v>
      </c>
      <c r="F30" s="15">
        <f t="shared" si="2"/>
        <v>4987</v>
      </c>
      <c r="G30" s="14">
        <v>394</v>
      </c>
    </row>
    <row r="31" spans="1:7" ht="12.75">
      <c r="A31" s="20">
        <f t="shared" si="1"/>
        <v>41132</v>
      </c>
      <c r="B31" s="14">
        <v>249494801.87</v>
      </c>
      <c r="C31" s="14">
        <v>1229434.87</v>
      </c>
      <c r="D31" s="14">
        <f t="shared" si="0"/>
        <v>235083798</v>
      </c>
      <c r="E31" s="14">
        <v>13181569</v>
      </c>
      <c r="F31" s="15">
        <f t="shared" si="2"/>
        <v>4987</v>
      </c>
      <c r="G31" s="14">
        <v>378</v>
      </c>
    </row>
    <row r="32" spans="1:7" ht="12.75">
      <c r="A32" s="20">
        <f t="shared" si="1"/>
        <v>41139</v>
      </c>
      <c r="B32" s="14">
        <v>250367729.16</v>
      </c>
      <c r="C32" s="14">
        <v>1185642.16</v>
      </c>
      <c r="D32" s="14">
        <f t="shared" si="0"/>
        <v>236263328</v>
      </c>
      <c r="E32" s="14">
        <v>12918759</v>
      </c>
      <c r="F32" s="15">
        <f t="shared" si="2"/>
        <v>4987</v>
      </c>
      <c r="G32" s="14">
        <v>370</v>
      </c>
    </row>
    <row r="33" spans="1:7" ht="12.75">
      <c r="A33" s="20">
        <f t="shared" si="1"/>
        <v>41146</v>
      </c>
      <c r="B33" s="14">
        <v>259994099.87</v>
      </c>
      <c r="C33" s="14">
        <v>1195630.87</v>
      </c>
      <c r="D33" s="14">
        <f t="shared" si="0"/>
        <v>245602529</v>
      </c>
      <c r="E33" s="14">
        <v>13195940</v>
      </c>
      <c r="F33" s="15">
        <f>34909/7</f>
        <v>4987</v>
      </c>
      <c r="G33" s="14">
        <v>378</v>
      </c>
    </row>
    <row r="34" spans="1:7" ht="12.75">
      <c r="A34" s="20">
        <f t="shared" si="1"/>
        <v>41153</v>
      </c>
      <c r="B34" s="14">
        <v>258614765.18</v>
      </c>
      <c r="C34" s="14">
        <v>1055242.18</v>
      </c>
      <c r="D34" s="14">
        <f t="shared" si="0"/>
        <v>243781141</v>
      </c>
      <c r="E34" s="14">
        <v>13778382</v>
      </c>
      <c r="F34" s="15">
        <f>34909/7</f>
        <v>4987</v>
      </c>
      <c r="G34" s="14">
        <v>395</v>
      </c>
    </row>
    <row r="35" spans="1:7" ht="12.75">
      <c r="A35" s="20">
        <f t="shared" si="1"/>
        <v>41160</v>
      </c>
      <c r="B35" s="14">
        <v>272510253.31</v>
      </c>
      <c r="C35" s="14">
        <v>1223609.31</v>
      </c>
      <c r="D35" s="14">
        <f t="shared" si="0"/>
        <v>257137888</v>
      </c>
      <c r="E35" s="14">
        <v>14148756</v>
      </c>
      <c r="F35" s="15">
        <f>34909/7</f>
        <v>4987</v>
      </c>
      <c r="G35" s="14">
        <v>405</v>
      </c>
    </row>
    <row r="36" spans="1:7" ht="12.75">
      <c r="A36" s="20">
        <f t="shared" si="1"/>
        <v>41167</v>
      </c>
      <c r="B36" s="14">
        <v>252459847.88</v>
      </c>
      <c r="C36" s="14">
        <v>1214139.88</v>
      </c>
      <c r="D36" s="14">
        <f t="shared" si="0"/>
        <v>238571748</v>
      </c>
      <c r="E36" s="14">
        <v>12673960</v>
      </c>
      <c r="F36" s="15">
        <f>34909/7</f>
        <v>4987</v>
      </c>
      <c r="G36" s="14">
        <v>363</v>
      </c>
    </row>
    <row r="37" spans="1:7" ht="12.75">
      <c r="A37" s="20">
        <f t="shared" si="1"/>
        <v>41174</v>
      </c>
      <c r="B37" s="14">
        <v>251660960.81</v>
      </c>
      <c r="C37" s="14">
        <v>1228060.81</v>
      </c>
      <c r="D37" s="14">
        <f t="shared" si="0"/>
        <v>237318338</v>
      </c>
      <c r="E37" s="14">
        <v>13114562</v>
      </c>
      <c r="F37" s="15">
        <f>32905/7</f>
        <v>4700.714285714285</v>
      </c>
      <c r="G37" s="14">
        <v>399</v>
      </c>
    </row>
    <row r="38" spans="1:7" ht="12.75">
      <c r="A38" s="20">
        <f t="shared" si="1"/>
        <v>41181</v>
      </c>
      <c r="B38" s="14">
        <v>254046774.28</v>
      </c>
      <c r="C38" s="14">
        <v>1340162.28</v>
      </c>
      <c r="D38" s="14">
        <f t="shared" si="0"/>
        <v>239867799</v>
      </c>
      <c r="E38" s="14">
        <v>12838813</v>
      </c>
      <c r="F38" s="15">
        <f>32689/7</f>
        <v>4669.857142857143</v>
      </c>
      <c r="G38" s="14">
        <v>393</v>
      </c>
    </row>
    <row r="39" spans="1:7" ht="12.75">
      <c r="A39" s="20">
        <f t="shared" si="1"/>
        <v>41188</v>
      </c>
      <c r="B39" s="14">
        <v>257749746.57</v>
      </c>
      <c r="C39" s="14">
        <v>1062250.57</v>
      </c>
      <c r="D39" s="14">
        <f t="shared" si="0"/>
        <v>243537295</v>
      </c>
      <c r="E39" s="14">
        <v>13150201</v>
      </c>
      <c r="F39" s="15">
        <f>33044/7</f>
        <v>4720.571428571428</v>
      </c>
      <c r="G39" s="14">
        <v>398</v>
      </c>
    </row>
    <row r="40" spans="1:7" ht="12.75">
      <c r="A40" s="20">
        <f t="shared" si="1"/>
        <v>41195</v>
      </c>
      <c r="B40" s="14">
        <v>260846219.13</v>
      </c>
      <c r="C40" s="14">
        <v>993720.13</v>
      </c>
      <c r="D40" s="14">
        <f t="shared" si="0"/>
        <v>246673765</v>
      </c>
      <c r="E40" s="14">
        <v>13178734</v>
      </c>
      <c r="F40" s="15">
        <f>33194/7</f>
        <v>4742</v>
      </c>
      <c r="G40" s="14">
        <v>397</v>
      </c>
    </row>
    <row r="41" spans="1:7" ht="12.75">
      <c r="A41" s="20">
        <f t="shared" si="1"/>
        <v>41202</v>
      </c>
      <c r="B41" s="14">
        <v>255525042.47</v>
      </c>
      <c r="C41" s="14">
        <v>1119110.47</v>
      </c>
      <c r="D41" s="14">
        <f t="shared" si="0"/>
        <v>242010141</v>
      </c>
      <c r="E41" s="14">
        <v>12395791</v>
      </c>
      <c r="F41" s="15">
        <f>33194/7</f>
        <v>4742</v>
      </c>
      <c r="G41" s="14">
        <v>373</v>
      </c>
    </row>
    <row r="42" spans="1:7" ht="12.75">
      <c r="A42" s="20">
        <f t="shared" si="1"/>
        <v>41209</v>
      </c>
      <c r="B42" s="14">
        <v>265135307.58</v>
      </c>
      <c r="C42" s="14">
        <v>1289184.58</v>
      </c>
      <c r="D42" s="14">
        <f t="shared" si="0"/>
        <v>251407631</v>
      </c>
      <c r="E42" s="14">
        <v>12438492</v>
      </c>
      <c r="F42" s="15">
        <f>34055/7</f>
        <v>4865</v>
      </c>
      <c r="G42" s="14">
        <v>365</v>
      </c>
    </row>
    <row r="43" spans="1:7" ht="12.75">
      <c r="A43" s="20">
        <f t="shared" si="1"/>
        <v>41216</v>
      </c>
      <c r="B43" s="14">
        <v>171099656.82</v>
      </c>
      <c r="C43" s="14">
        <v>873609.82</v>
      </c>
      <c r="D43" s="14">
        <f t="shared" si="0"/>
        <v>162188841</v>
      </c>
      <c r="E43" s="14">
        <v>8037206</v>
      </c>
      <c r="F43" s="24">
        <f>35203/7</f>
        <v>5029</v>
      </c>
      <c r="G43" s="14">
        <v>228</v>
      </c>
    </row>
    <row r="44" spans="1:7" ht="12.75">
      <c r="A44" s="20">
        <f t="shared" si="1"/>
        <v>41223</v>
      </c>
      <c r="B44" s="14">
        <v>214215162.88</v>
      </c>
      <c r="C44" s="14">
        <v>680835.88</v>
      </c>
      <c r="D44" s="14">
        <f t="shared" si="0"/>
        <v>202863454</v>
      </c>
      <c r="E44" s="14">
        <v>10670873</v>
      </c>
      <c r="F44" s="15">
        <f>34907/7</f>
        <v>4986.714285714285</v>
      </c>
      <c r="G44" s="14">
        <v>306</v>
      </c>
    </row>
    <row r="45" spans="1:7" ht="12.75">
      <c r="A45" s="20">
        <f t="shared" si="1"/>
        <v>41230</v>
      </c>
      <c r="B45" s="14">
        <v>248522800.02</v>
      </c>
      <c r="C45" s="14">
        <v>1153391.02</v>
      </c>
      <c r="D45" s="14">
        <f t="shared" si="0"/>
        <v>234933765</v>
      </c>
      <c r="E45" s="14">
        <v>12435644</v>
      </c>
      <c r="F45" s="15">
        <f>34845/7</f>
        <v>4977.857142857143</v>
      </c>
      <c r="G45" s="14">
        <v>357</v>
      </c>
    </row>
    <row r="46" spans="1:7" ht="12.75">
      <c r="A46" s="20">
        <f t="shared" si="1"/>
        <v>41237</v>
      </c>
      <c r="B46" s="14">
        <v>274350483.15</v>
      </c>
      <c r="C46" s="14">
        <v>1196126.15</v>
      </c>
      <c r="D46" s="14">
        <f t="shared" si="0"/>
        <v>259462647</v>
      </c>
      <c r="E46" s="14">
        <v>13691710</v>
      </c>
      <c r="F46" s="15">
        <f>35015/7</f>
        <v>5002.142857142857</v>
      </c>
      <c r="G46" s="14">
        <v>391</v>
      </c>
    </row>
    <row r="47" spans="1:7" ht="12.75">
      <c r="A47" s="20">
        <f t="shared" si="1"/>
        <v>41244</v>
      </c>
      <c r="B47" s="14">
        <v>255920180.8</v>
      </c>
      <c r="C47" s="14">
        <v>1020275.8</v>
      </c>
      <c r="D47" s="14">
        <f t="shared" si="0"/>
        <v>242213349</v>
      </c>
      <c r="E47" s="14">
        <v>12686556</v>
      </c>
      <c r="F47" s="15">
        <f aca="true" t="shared" si="3" ref="F47:F52">35035/7</f>
        <v>5005</v>
      </c>
      <c r="G47" s="14">
        <v>362</v>
      </c>
    </row>
    <row r="48" spans="1:7" ht="12.75">
      <c r="A48" s="20">
        <f t="shared" si="1"/>
        <v>41251</v>
      </c>
      <c r="B48" s="14">
        <v>268725164.43</v>
      </c>
      <c r="C48" s="14">
        <v>1253550.43</v>
      </c>
      <c r="D48" s="14">
        <f t="shared" si="0"/>
        <v>254378624</v>
      </c>
      <c r="E48" s="14">
        <v>13092990</v>
      </c>
      <c r="F48" s="15">
        <f t="shared" si="3"/>
        <v>5005</v>
      </c>
      <c r="G48" s="14">
        <v>374</v>
      </c>
    </row>
    <row r="49" spans="1:7" ht="12.75">
      <c r="A49" s="20">
        <f t="shared" si="1"/>
        <v>41258</v>
      </c>
      <c r="B49" s="14">
        <v>267286217.25</v>
      </c>
      <c r="C49" s="14">
        <v>1158561.25</v>
      </c>
      <c r="D49" s="14">
        <f t="shared" si="0"/>
        <v>253337554</v>
      </c>
      <c r="E49" s="14">
        <v>12790102</v>
      </c>
      <c r="F49" s="15">
        <f t="shared" si="3"/>
        <v>5005</v>
      </c>
      <c r="G49" s="14">
        <v>365</v>
      </c>
    </row>
    <row r="50" spans="1:7" ht="12.75">
      <c r="A50" s="20">
        <f t="shared" si="1"/>
        <v>41265</v>
      </c>
      <c r="B50" s="14">
        <v>264690100.39</v>
      </c>
      <c r="C50" s="14">
        <v>1090056.39</v>
      </c>
      <c r="D50" s="14">
        <f t="shared" si="0"/>
        <v>251508745</v>
      </c>
      <c r="E50" s="14">
        <v>12091299</v>
      </c>
      <c r="F50" s="15">
        <f t="shared" si="3"/>
        <v>5005</v>
      </c>
      <c r="G50" s="14">
        <v>345</v>
      </c>
    </row>
    <row r="51" spans="1:7" ht="12.75">
      <c r="A51" s="20">
        <f t="shared" si="1"/>
        <v>41272</v>
      </c>
      <c r="B51" s="14">
        <v>306659255.69</v>
      </c>
      <c r="C51" s="14">
        <v>1245732.69</v>
      </c>
      <c r="D51" s="14">
        <f t="shared" si="0"/>
        <v>290970840</v>
      </c>
      <c r="E51" s="14">
        <v>14442683</v>
      </c>
      <c r="F51" s="15">
        <f t="shared" si="3"/>
        <v>5005</v>
      </c>
      <c r="G51" s="14">
        <v>412</v>
      </c>
    </row>
    <row r="52" spans="1:7" ht="12.75">
      <c r="A52" s="20">
        <f t="shared" si="1"/>
        <v>41279</v>
      </c>
      <c r="B52" s="14">
        <v>327399712.06</v>
      </c>
      <c r="C52" s="14">
        <v>1668186.06</v>
      </c>
      <c r="D52" s="14">
        <f t="shared" si="0"/>
        <v>309208145</v>
      </c>
      <c r="E52" s="14">
        <v>16523381</v>
      </c>
      <c r="F52" s="15">
        <f t="shared" si="3"/>
        <v>5005</v>
      </c>
      <c r="G52" s="14">
        <v>472</v>
      </c>
    </row>
    <row r="53" spans="1:7" ht="12.75">
      <c r="A53" s="20">
        <f t="shared" si="1"/>
        <v>41286</v>
      </c>
      <c r="B53" s="14">
        <v>286743918.57</v>
      </c>
      <c r="C53" s="14">
        <v>1478278.57</v>
      </c>
      <c r="D53" s="14">
        <f t="shared" si="0"/>
        <v>271638114</v>
      </c>
      <c r="E53" s="14">
        <v>13627526</v>
      </c>
      <c r="F53" s="15">
        <f>35035/7</f>
        <v>5005</v>
      </c>
      <c r="G53" s="14">
        <v>389</v>
      </c>
    </row>
    <row r="54" spans="1:7" ht="12.75">
      <c r="A54" s="20">
        <f t="shared" si="1"/>
        <v>41293</v>
      </c>
      <c r="B54" s="14">
        <v>280915203.55</v>
      </c>
      <c r="C54" s="14">
        <v>1458677.55</v>
      </c>
      <c r="D54" s="14">
        <f t="shared" si="0"/>
        <v>266120512</v>
      </c>
      <c r="E54" s="14">
        <v>13336014</v>
      </c>
      <c r="F54" s="15">
        <f>35035/7</f>
        <v>5005</v>
      </c>
      <c r="G54" s="14">
        <v>381</v>
      </c>
    </row>
    <row r="55" spans="1:7" ht="12.75">
      <c r="A55" s="20">
        <f t="shared" si="1"/>
        <v>41300</v>
      </c>
      <c r="B55" s="14">
        <v>274927067.29</v>
      </c>
      <c r="C55" s="14">
        <v>1488471.29</v>
      </c>
      <c r="D55" s="14">
        <f t="shared" si="0"/>
        <v>260888791</v>
      </c>
      <c r="E55" s="14">
        <v>12549805</v>
      </c>
      <c r="F55" s="15">
        <f>35035/7</f>
        <v>5005</v>
      </c>
      <c r="G55" s="14">
        <v>358</v>
      </c>
    </row>
    <row r="56" spans="1:7" ht="12.75">
      <c r="A56" s="20">
        <f t="shared" si="1"/>
        <v>41307</v>
      </c>
      <c r="B56" s="14">
        <v>277382467.43</v>
      </c>
      <c r="C56" s="14">
        <v>1610348.43</v>
      </c>
      <c r="D56" s="14">
        <f t="shared" si="0"/>
        <v>262647481</v>
      </c>
      <c r="E56" s="14">
        <v>13124638</v>
      </c>
      <c r="F56" s="15">
        <f>34995/7</f>
        <v>4999.285714285715</v>
      </c>
      <c r="G56" s="14">
        <v>375</v>
      </c>
    </row>
    <row r="57" spans="1:7" ht="12.75">
      <c r="A57" s="20">
        <f t="shared" si="1"/>
        <v>41314</v>
      </c>
      <c r="B57" s="14">
        <v>242995070.07</v>
      </c>
      <c r="C57" s="14">
        <v>1331326.07</v>
      </c>
      <c r="D57" s="14">
        <f t="shared" si="0"/>
        <v>230146604</v>
      </c>
      <c r="E57" s="14">
        <v>11517140</v>
      </c>
      <c r="F57" s="15">
        <f>34911/7</f>
        <v>4987.285714285715</v>
      </c>
      <c r="G57" s="14">
        <v>330</v>
      </c>
    </row>
    <row r="58" spans="1:7" ht="12.75">
      <c r="A58" s="20">
        <f t="shared" si="1"/>
        <v>41321</v>
      </c>
      <c r="B58" s="14">
        <v>312422898.87</v>
      </c>
      <c r="C58" s="14">
        <v>1717107.87</v>
      </c>
      <c r="D58" s="14">
        <f t="shared" si="0"/>
        <v>295565049</v>
      </c>
      <c r="E58" s="14">
        <v>15140742</v>
      </c>
      <c r="F58" s="15">
        <f aca="true" t="shared" si="4" ref="F58:F63">35021/7</f>
        <v>5003</v>
      </c>
      <c r="G58" s="14">
        <v>432</v>
      </c>
    </row>
    <row r="59" spans="1:7" ht="12.75">
      <c r="A59" s="20">
        <f t="shared" si="1"/>
        <v>41328</v>
      </c>
      <c r="B59" s="14">
        <v>321643302.21</v>
      </c>
      <c r="C59" s="14">
        <v>1898100.21</v>
      </c>
      <c r="D59" s="14">
        <f t="shared" si="0"/>
        <v>304583951</v>
      </c>
      <c r="E59" s="14">
        <v>15161251</v>
      </c>
      <c r="F59" s="15">
        <f t="shared" si="4"/>
        <v>5003</v>
      </c>
      <c r="G59" s="14">
        <v>433</v>
      </c>
    </row>
    <row r="60" spans="1:7" ht="12.75">
      <c r="A60" s="20">
        <f t="shared" si="1"/>
        <v>41335</v>
      </c>
      <c r="B60" s="14">
        <v>337254197.53</v>
      </c>
      <c r="C60" s="14">
        <v>1842242.53</v>
      </c>
      <c r="D60" s="14">
        <f t="shared" si="0"/>
        <v>319208412</v>
      </c>
      <c r="E60" s="14">
        <v>16203543</v>
      </c>
      <c r="F60" s="15">
        <f t="shared" si="4"/>
        <v>5003</v>
      </c>
      <c r="G60" s="14">
        <v>463</v>
      </c>
    </row>
    <row r="61" spans="1:7" ht="12.75">
      <c r="A61" s="20">
        <f t="shared" si="1"/>
        <v>41342</v>
      </c>
      <c r="B61" s="14">
        <v>321349067.62</v>
      </c>
      <c r="C61" s="14">
        <v>1307664.62</v>
      </c>
      <c r="D61" s="14">
        <f t="shared" si="0"/>
        <v>304485145</v>
      </c>
      <c r="E61" s="14">
        <v>15556258</v>
      </c>
      <c r="F61" s="15">
        <f t="shared" si="4"/>
        <v>5003</v>
      </c>
      <c r="G61" s="14">
        <v>444</v>
      </c>
    </row>
    <row r="62" spans="1:7" ht="12.75">
      <c r="A62" s="20">
        <f t="shared" si="1"/>
        <v>41349</v>
      </c>
      <c r="B62" s="14">
        <v>326141098.67</v>
      </c>
      <c r="C62" s="14">
        <v>1288974.67</v>
      </c>
      <c r="D62" s="14">
        <f t="shared" si="0"/>
        <v>309025350</v>
      </c>
      <c r="E62" s="14">
        <v>15826774</v>
      </c>
      <c r="F62" s="15">
        <f t="shared" si="4"/>
        <v>5003</v>
      </c>
      <c r="G62" s="14">
        <v>452</v>
      </c>
    </row>
    <row r="63" spans="1:7" ht="12.75">
      <c r="A63" s="20">
        <f t="shared" si="1"/>
        <v>41356</v>
      </c>
      <c r="B63" s="14">
        <v>328179650.6</v>
      </c>
      <c r="C63" s="14">
        <v>1341102.6</v>
      </c>
      <c r="D63" s="14">
        <f t="shared" si="0"/>
        <v>311117225</v>
      </c>
      <c r="E63" s="14">
        <v>15721323</v>
      </c>
      <c r="F63" s="15">
        <f t="shared" si="4"/>
        <v>5003</v>
      </c>
      <c r="G63" s="14">
        <v>449</v>
      </c>
    </row>
    <row r="64" ht="12.75">
      <c r="A64" s="20"/>
    </row>
    <row r="65" spans="1:7" s="19" customFormat="1" ht="13.5" thickBot="1">
      <c r="A65" s="2" t="s">
        <v>8</v>
      </c>
      <c r="B65" s="16">
        <f>SUM(B12:B63)</f>
        <v>13712683886.19</v>
      </c>
      <c r="C65" s="16">
        <f>SUM(C12:C63)</f>
        <v>58118651.18999999</v>
      </c>
      <c r="D65" s="16">
        <f>SUM(D12:D63)</f>
        <v>12963804485</v>
      </c>
      <c r="E65" s="16">
        <f>SUM(E12:E63)</f>
        <v>690760750</v>
      </c>
      <c r="F65" s="21">
        <f>SUM(F12:F64)/COUNT(F12:F64)</f>
        <v>4954.942307692308</v>
      </c>
      <c r="G65" s="16">
        <f>+E65/SUM(F12:F64)/7</f>
        <v>382.99020458538735</v>
      </c>
    </row>
    <row r="66" spans="1:7" ht="13.5" thickTop="1">
      <c r="A66" s="17"/>
      <c r="B66" s="18"/>
      <c r="C66" s="18"/>
      <c r="D66" s="18"/>
      <c r="E66" s="18"/>
      <c r="F66" s="19"/>
      <c r="G66" s="19"/>
    </row>
  </sheetData>
  <sheetProtection/>
  <mergeCells count="6">
    <mergeCell ref="A7:G7"/>
    <mergeCell ref="A1:G1"/>
    <mergeCell ref="A2:G2"/>
    <mergeCell ref="A3:G3"/>
    <mergeCell ref="A4:G4"/>
    <mergeCell ref="C5:D5"/>
  </mergeCells>
  <hyperlinks>
    <hyperlink ref="A4" r:id="rId1" display="www.rwnewyork.com"/>
  </hyperlinks>
  <printOptions horizontalCentered="1"/>
  <pageMargins left="0" right="0" top="0.5" bottom="0.25" header="0.5" footer="0.5"/>
  <pageSetup fitToHeight="1" fitToWidth="1" horizontalDpi="600" verticalDpi="600" orientation="portrait" scale="87" r:id="rId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zoomScalePageLayoutView="0" workbookViewId="0" topLeftCell="A1">
      <pane ySplit="10" topLeftCell="A40" activePane="bottomLeft" state="frozen"/>
      <selection pane="topLeft" activeCell="A1" sqref="A1"/>
      <selection pane="bottomLeft" activeCell="I44" sqref="I44"/>
    </sheetView>
  </sheetViews>
  <sheetFormatPr defaultColWidth="9.140625" defaultRowHeight="12.75"/>
  <cols>
    <col min="1" max="1" width="15.7109375" style="2" customWidth="1"/>
    <col min="2" max="3" width="16.28125" style="14" customWidth="1"/>
    <col min="4" max="4" width="15.7109375" style="14" customWidth="1"/>
    <col min="5" max="5" width="15.00390625" style="14" customWidth="1"/>
    <col min="6" max="6" width="10.140625" style="15" customWidth="1"/>
    <col min="7" max="7" width="11.57421875" style="14" customWidth="1"/>
  </cols>
  <sheetData>
    <row r="1" spans="1:7" ht="18">
      <c r="A1" s="28" t="s">
        <v>16</v>
      </c>
      <c r="B1" s="28"/>
      <c r="C1" s="28"/>
      <c r="D1" s="28"/>
      <c r="E1" s="28"/>
      <c r="F1" s="28"/>
      <c r="G1" s="28"/>
    </row>
    <row r="2" spans="1:7" ht="15">
      <c r="A2" s="29" t="s">
        <v>12</v>
      </c>
      <c r="B2" s="29"/>
      <c r="C2" s="29"/>
      <c r="D2" s="29"/>
      <c r="E2" s="29"/>
      <c r="F2" s="29"/>
      <c r="G2" s="29"/>
    </row>
    <row r="3" spans="1:7" s="1" customFormat="1" ht="15">
      <c r="A3" s="29" t="s">
        <v>13</v>
      </c>
      <c r="B3" s="29"/>
      <c r="C3" s="29"/>
      <c r="D3" s="29"/>
      <c r="E3" s="29"/>
      <c r="F3" s="29"/>
      <c r="G3" s="29"/>
    </row>
    <row r="4" spans="1:7" s="1" customFormat="1" ht="15">
      <c r="A4" s="30" t="s">
        <v>14</v>
      </c>
      <c r="B4" s="30"/>
      <c r="C4" s="30"/>
      <c r="D4" s="30"/>
      <c r="E4" s="30"/>
      <c r="F4" s="30"/>
      <c r="G4" s="30"/>
    </row>
    <row r="5" spans="1:7" s="1" customFormat="1" ht="14.25">
      <c r="A5" s="23"/>
      <c r="B5" s="22"/>
      <c r="C5" s="31" t="s">
        <v>15</v>
      </c>
      <c r="D5" s="31"/>
      <c r="E5" s="22"/>
      <c r="F5" s="22"/>
      <c r="G5" s="22"/>
    </row>
    <row r="6" spans="1:7" s="6" customFormat="1" ht="8.25" customHeight="1">
      <c r="A6" s="2"/>
      <c r="B6" s="3"/>
      <c r="C6" s="3"/>
      <c r="D6" s="3"/>
      <c r="E6" s="4"/>
      <c r="F6" s="5"/>
      <c r="G6" s="4"/>
    </row>
    <row r="7" spans="1:7" s="1" customFormat="1" ht="12" customHeight="1">
      <c r="A7" s="32" t="s">
        <v>10</v>
      </c>
      <c r="B7" s="33"/>
      <c r="C7" s="33"/>
      <c r="D7" s="33"/>
      <c r="E7" s="33"/>
      <c r="F7" s="33"/>
      <c r="G7" s="34"/>
    </row>
    <row r="8" spans="1:7" s="11" customFormat="1" ht="12.75">
      <c r="A8" s="2"/>
      <c r="B8" s="3"/>
      <c r="C8" s="3"/>
      <c r="D8" s="3"/>
      <c r="E8" s="4"/>
      <c r="F8" s="5"/>
      <c r="G8" s="4"/>
    </row>
    <row r="9" spans="1:7" s="11" customFormat="1" ht="12">
      <c r="A9" s="8"/>
      <c r="B9" s="9" t="s">
        <v>0</v>
      </c>
      <c r="C9" s="9" t="s">
        <v>11</v>
      </c>
      <c r="D9" s="9" t="s">
        <v>0</v>
      </c>
      <c r="E9" s="9"/>
      <c r="F9" s="10" t="s">
        <v>1</v>
      </c>
      <c r="G9" s="9" t="s">
        <v>2</v>
      </c>
    </row>
    <row r="10" spans="1:7" ht="12.75">
      <c r="A10" s="12" t="s">
        <v>9</v>
      </c>
      <c r="B10" s="7" t="s">
        <v>3</v>
      </c>
      <c r="C10" s="7" t="s">
        <v>18</v>
      </c>
      <c r="D10" s="7" t="s">
        <v>4</v>
      </c>
      <c r="E10" s="7" t="s">
        <v>5</v>
      </c>
      <c r="F10" s="13" t="s">
        <v>6</v>
      </c>
      <c r="G10" s="7" t="s">
        <v>7</v>
      </c>
    </row>
    <row r="12" ht="12.75">
      <c r="A12" s="20">
        <v>40635</v>
      </c>
    </row>
    <row r="13" ht="12.75">
      <c r="A13" s="20">
        <v>40642</v>
      </c>
    </row>
    <row r="14" ht="12.75">
      <c r="A14" s="20">
        <v>40649</v>
      </c>
    </row>
    <row r="15" ht="12.75">
      <c r="A15" s="20">
        <v>40656</v>
      </c>
    </row>
    <row r="16" ht="12.75">
      <c r="A16" s="20">
        <v>40663</v>
      </c>
    </row>
    <row r="17" ht="12.75">
      <c r="A17" s="20">
        <v>40670</v>
      </c>
    </row>
    <row r="18" ht="12.75">
      <c r="A18" s="20">
        <v>40677</v>
      </c>
    </row>
    <row r="19" ht="12.75">
      <c r="A19" s="20">
        <v>40684</v>
      </c>
    </row>
    <row r="20" ht="12.75">
      <c r="A20" s="20">
        <v>40691</v>
      </c>
    </row>
    <row r="21" ht="12.75">
      <c r="A21" s="20">
        <v>40698</v>
      </c>
    </row>
    <row r="22" ht="12.75">
      <c r="A22" s="20">
        <v>40705</v>
      </c>
    </row>
    <row r="23" ht="12.75">
      <c r="A23" s="20">
        <v>40712</v>
      </c>
    </row>
    <row r="24" ht="12.75">
      <c r="A24" s="20">
        <v>40719</v>
      </c>
    </row>
    <row r="25" ht="12.75">
      <c r="A25" s="20">
        <v>40726</v>
      </c>
    </row>
    <row r="26" ht="12.75">
      <c r="A26" s="20">
        <v>40733</v>
      </c>
    </row>
    <row r="27" ht="12.75">
      <c r="A27" s="20">
        <v>40740</v>
      </c>
    </row>
    <row r="28" ht="12.75">
      <c r="A28" s="20">
        <v>40747</v>
      </c>
    </row>
    <row r="29" ht="12.75">
      <c r="A29" s="20">
        <v>40754</v>
      </c>
    </row>
    <row r="30" ht="12.75">
      <c r="A30" s="20">
        <v>40761</v>
      </c>
    </row>
    <row r="31" ht="12.75">
      <c r="A31" s="20">
        <v>40768</v>
      </c>
    </row>
    <row r="32" ht="12.75">
      <c r="A32" s="20">
        <v>40775</v>
      </c>
    </row>
    <row r="33" ht="12.75">
      <c r="A33" s="20">
        <v>40782</v>
      </c>
    </row>
    <row r="34" ht="12.75">
      <c r="A34" s="20">
        <v>40789</v>
      </c>
    </row>
    <row r="35" ht="12.75">
      <c r="A35" s="20">
        <v>40796</v>
      </c>
    </row>
    <row r="36" ht="12.75">
      <c r="A36" s="20">
        <v>40803</v>
      </c>
    </row>
    <row r="37" ht="12.75">
      <c r="A37" s="20">
        <v>40810</v>
      </c>
    </row>
    <row r="38" ht="12.75">
      <c r="A38" s="20">
        <v>40817</v>
      </c>
    </row>
    <row r="39" ht="12.75">
      <c r="A39" s="20">
        <v>40824</v>
      </c>
    </row>
    <row r="40" ht="12.75">
      <c r="A40" s="20">
        <v>40831</v>
      </c>
    </row>
    <row r="41" ht="12.75">
      <c r="A41" s="20">
        <v>40838</v>
      </c>
    </row>
    <row r="42" spans="1:7" ht="12.75">
      <c r="A42" s="20">
        <v>40845</v>
      </c>
      <c r="B42" s="14">
        <v>37980840.94</v>
      </c>
      <c r="C42" s="14">
        <v>0</v>
      </c>
      <c r="D42" s="14">
        <f aca="true" t="shared" si="0" ref="D42:D63">B42-C42-E42</f>
        <v>34909249.19</v>
      </c>
      <c r="E42" s="14">
        <f>1600594.28+1470997.47</f>
        <v>3071591.75</v>
      </c>
      <c r="F42" s="15">
        <v>2486</v>
      </c>
      <c r="G42" s="14">
        <f>E42/F42/2</f>
        <v>617.7779062751408</v>
      </c>
    </row>
    <row r="43" spans="1:7" ht="12.75">
      <c r="A43" s="20">
        <v>40852</v>
      </c>
      <c r="B43" s="14">
        <v>138955591.46</v>
      </c>
      <c r="C43" s="14">
        <v>0</v>
      </c>
      <c r="D43" s="14">
        <f t="shared" si="0"/>
        <v>128769241.74000001</v>
      </c>
      <c r="E43" s="14">
        <f>1590231.82+1159550.15+1213735.32+1221354.43+1327687.43+1706866.33+1966924.24</f>
        <v>10186349.719999999</v>
      </c>
      <c r="F43" s="15">
        <v>2486</v>
      </c>
      <c r="G43" s="14">
        <f>E43/F43/7</f>
        <v>585.355115503965</v>
      </c>
    </row>
    <row r="44" spans="1:7" ht="12.75">
      <c r="A44" s="20">
        <v>40859</v>
      </c>
      <c r="B44" s="14">
        <v>151832362.33</v>
      </c>
      <c r="C44" s="14">
        <v>0</v>
      </c>
      <c r="D44" s="14">
        <f t="shared" si="0"/>
        <v>141812275.5</v>
      </c>
      <c r="E44" s="14">
        <f>1512837.87+1195404.31+1092269.18+1297911.15+1358992.2+1683296.69+1879375.43</f>
        <v>10020086.83</v>
      </c>
      <c r="F44" s="15">
        <v>2486</v>
      </c>
      <c r="G44" s="14">
        <v>576</v>
      </c>
    </row>
    <row r="45" spans="1:7" ht="12.75">
      <c r="A45" s="20">
        <v>40866</v>
      </c>
      <c r="B45" s="14">
        <v>139634750</v>
      </c>
      <c r="C45" s="14">
        <v>0</v>
      </c>
      <c r="D45" s="14">
        <f t="shared" si="0"/>
        <v>130649166</v>
      </c>
      <c r="E45" s="14">
        <v>8985584</v>
      </c>
      <c r="F45" s="15">
        <v>2486</v>
      </c>
      <c r="G45" s="14">
        <v>516</v>
      </c>
    </row>
    <row r="46" spans="1:7" ht="12.75">
      <c r="A46" s="20">
        <v>40873</v>
      </c>
      <c r="B46" s="14">
        <v>150254801</v>
      </c>
      <c r="C46" s="14">
        <v>0</v>
      </c>
      <c r="D46" s="14">
        <f t="shared" si="0"/>
        <v>140337321</v>
      </c>
      <c r="E46" s="14">
        <v>9917480</v>
      </c>
      <c r="F46" s="15">
        <v>2486</v>
      </c>
      <c r="G46" s="14">
        <v>570</v>
      </c>
    </row>
    <row r="47" spans="1:7" ht="12.75">
      <c r="A47" s="20">
        <v>40880</v>
      </c>
      <c r="B47" s="14">
        <v>140969808</v>
      </c>
      <c r="C47" s="14">
        <v>25</v>
      </c>
      <c r="D47" s="14">
        <f t="shared" si="0"/>
        <v>132207421</v>
      </c>
      <c r="E47" s="14">
        <v>8762362</v>
      </c>
      <c r="F47" s="15">
        <v>2486</v>
      </c>
      <c r="G47" s="14">
        <v>504</v>
      </c>
    </row>
    <row r="48" spans="1:7" ht="12.75">
      <c r="A48" s="20">
        <v>40887</v>
      </c>
      <c r="B48" s="14">
        <v>140124711.9</v>
      </c>
      <c r="C48" s="14">
        <v>0</v>
      </c>
      <c r="D48" s="14">
        <f t="shared" si="0"/>
        <v>131803081.24000001</v>
      </c>
      <c r="E48" s="14">
        <f>7403838+917792.66</f>
        <v>8321630.66</v>
      </c>
      <c r="F48" s="15">
        <v>2486</v>
      </c>
      <c r="G48" s="14">
        <v>478</v>
      </c>
    </row>
    <row r="49" spans="1:7" ht="12.75">
      <c r="A49" s="20">
        <v>40894</v>
      </c>
      <c r="B49" s="14">
        <v>155890973.7</v>
      </c>
      <c r="C49" s="14">
        <v>204493.7</v>
      </c>
      <c r="D49" s="14">
        <f t="shared" si="0"/>
        <v>146557442</v>
      </c>
      <c r="E49" s="14">
        <v>9129038</v>
      </c>
      <c r="F49" s="15">
        <v>3204.285714285714</v>
      </c>
      <c r="G49" s="14">
        <v>407</v>
      </c>
    </row>
    <row r="50" spans="1:7" ht="12.75">
      <c r="A50" s="20">
        <v>40901</v>
      </c>
      <c r="B50" s="14">
        <v>152653669.72</v>
      </c>
      <c r="C50" s="14">
        <v>44728.72</v>
      </c>
      <c r="D50" s="14">
        <f t="shared" si="0"/>
        <v>143489684</v>
      </c>
      <c r="E50" s="14">
        <v>9119257</v>
      </c>
      <c r="F50" s="15">
        <f aca="true" t="shared" si="1" ref="F50:F55">35000/7</f>
        <v>5000</v>
      </c>
      <c r="G50" s="14">
        <v>261</v>
      </c>
    </row>
    <row r="51" spans="1:7" ht="12.75">
      <c r="A51" s="20">
        <v>40908</v>
      </c>
      <c r="B51" s="14">
        <v>203551459.2</v>
      </c>
      <c r="C51" s="14">
        <v>97373.2</v>
      </c>
      <c r="D51" s="14">
        <f t="shared" si="0"/>
        <v>191110285</v>
      </c>
      <c r="E51" s="14">
        <v>12343801</v>
      </c>
      <c r="F51" s="15">
        <f t="shared" si="1"/>
        <v>5000</v>
      </c>
      <c r="G51" s="14">
        <v>353</v>
      </c>
    </row>
    <row r="52" spans="1:7" ht="12.75">
      <c r="A52" s="20">
        <v>40915</v>
      </c>
      <c r="B52" s="14">
        <v>214242311.62</v>
      </c>
      <c r="C52" s="14">
        <v>265086.62</v>
      </c>
      <c r="D52" s="14">
        <f t="shared" si="0"/>
        <v>201088890</v>
      </c>
      <c r="E52" s="14">
        <v>12888335</v>
      </c>
      <c r="F52" s="15">
        <f t="shared" si="1"/>
        <v>5000</v>
      </c>
      <c r="G52" s="14">
        <v>368</v>
      </c>
    </row>
    <row r="53" spans="1:7" ht="12.75">
      <c r="A53" s="20">
        <v>40922</v>
      </c>
      <c r="B53" s="14">
        <v>196299180.53</v>
      </c>
      <c r="C53" s="14">
        <v>292906.53</v>
      </c>
      <c r="D53" s="14">
        <f t="shared" si="0"/>
        <v>185037627</v>
      </c>
      <c r="E53" s="14">
        <v>10968647</v>
      </c>
      <c r="F53" s="15">
        <f t="shared" si="1"/>
        <v>5000</v>
      </c>
      <c r="G53" s="14">
        <v>313</v>
      </c>
    </row>
    <row r="54" spans="1:7" ht="12.75">
      <c r="A54" s="20">
        <v>40929</v>
      </c>
      <c r="B54" s="14">
        <v>189724454.06</v>
      </c>
      <c r="C54" s="14">
        <v>282225.06</v>
      </c>
      <c r="D54" s="14">
        <f t="shared" si="0"/>
        <v>178339540</v>
      </c>
      <c r="E54" s="14">
        <v>11102689</v>
      </c>
      <c r="F54" s="15">
        <f t="shared" si="1"/>
        <v>5000</v>
      </c>
      <c r="G54" s="14">
        <v>317</v>
      </c>
    </row>
    <row r="55" spans="1:7" ht="12.75">
      <c r="A55" s="20">
        <v>40936</v>
      </c>
      <c r="B55" s="14">
        <v>207810283.81</v>
      </c>
      <c r="C55" s="14">
        <v>355328.81</v>
      </c>
      <c r="D55" s="14">
        <f t="shared" si="0"/>
        <v>196405567</v>
      </c>
      <c r="E55" s="14">
        <v>11049388</v>
      </c>
      <c r="F55" s="15">
        <f t="shared" si="1"/>
        <v>5000</v>
      </c>
      <c r="G55" s="14">
        <v>316</v>
      </c>
    </row>
    <row r="56" spans="1:7" ht="12.75">
      <c r="A56" s="20">
        <v>40943</v>
      </c>
      <c r="B56" s="14">
        <v>228958280.45</v>
      </c>
      <c r="C56" s="14">
        <v>413747.45</v>
      </c>
      <c r="D56" s="14">
        <f t="shared" si="0"/>
        <v>216158363</v>
      </c>
      <c r="E56" s="14">
        <v>12386170</v>
      </c>
      <c r="F56" s="15">
        <f>35000/7</f>
        <v>5000</v>
      </c>
      <c r="G56" s="14">
        <v>354</v>
      </c>
    </row>
    <row r="57" spans="1:7" ht="12.75">
      <c r="A57" s="20">
        <v>40950</v>
      </c>
      <c r="B57" s="14">
        <v>239051385.84</v>
      </c>
      <c r="C57" s="14">
        <v>521901.84</v>
      </c>
      <c r="D57" s="14">
        <f t="shared" si="0"/>
        <v>226114064</v>
      </c>
      <c r="E57" s="14">
        <v>12415420</v>
      </c>
      <c r="F57" s="15">
        <f>35000/7</f>
        <v>5000</v>
      </c>
      <c r="G57" s="14">
        <v>355</v>
      </c>
    </row>
    <row r="58" spans="1:7" ht="12.75">
      <c r="A58" s="20">
        <v>40957</v>
      </c>
      <c r="B58" s="14">
        <v>242966272.24</v>
      </c>
      <c r="C58" s="14">
        <v>445647.24</v>
      </c>
      <c r="D58" s="14">
        <f t="shared" si="0"/>
        <v>229662494</v>
      </c>
      <c r="E58" s="14">
        <v>12858131</v>
      </c>
      <c r="F58" s="15">
        <f>34952/7</f>
        <v>4993.142857142857</v>
      </c>
      <c r="G58" s="14">
        <v>368</v>
      </c>
    </row>
    <row r="59" spans="1:7" ht="12.75">
      <c r="A59" s="20">
        <v>40964</v>
      </c>
      <c r="B59" s="14">
        <v>256360498.49</v>
      </c>
      <c r="C59" s="14">
        <v>520696.49</v>
      </c>
      <c r="D59" s="14">
        <f t="shared" si="0"/>
        <v>241405945</v>
      </c>
      <c r="E59" s="14">
        <v>14433857</v>
      </c>
      <c r="F59" s="15">
        <f>34944/7</f>
        <v>4992</v>
      </c>
      <c r="G59" s="14">
        <v>413</v>
      </c>
    </row>
    <row r="60" spans="1:7" ht="12.75">
      <c r="A60" s="20">
        <v>40971</v>
      </c>
      <c r="B60" s="14">
        <v>258355524.41</v>
      </c>
      <c r="C60" s="14">
        <v>504079.41</v>
      </c>
      <c r="D60" s="14">
        <f t="shared" si="0"/>
        <v>244588338</v>
      </c>
      <c r="E60" s="14">
        <v>13263107</v>
      </c>
      <c r="F60" s="15">
        <f>34944/7</f>
        <v>4992</v>
      </c>
      <c r="G60" s="14">
        <v>380</v>
      </c>
    </row>
    <row r="61" spans="1:7" ht="12.75">
      <c r="A61" s="20">
        <v>40978</v>
      </c>
      <c r="B61" s="14">
        <v>252761497.69</v>
      </c>
      <c r="C61" s="14">
        <v>583431.69</v>
      </c>
      <c r="D61" s="14">
        <f t="shared" si="0"/>
        <v>238607906</v>
      </c>
      <c r="E61" s="14">
        <v>13570160</v>
      </c>
      <c r="F61" s="15">
        <f>34944/7</f>
        <v>4992</v>
      </c>
      <c r="G61" s="14">
        <v>388</v>
      </c>
    </row>
    <row r="62" spans="1:7" ht="12.75">
      <c r="A62" s="20">
        <v>40985</v>
      </c>
      <c r="B62" s="14">
        <v>256218183.26</v>
      </c>
      <c r="C62" s="14">
        <v>608945.26</v>
      </c>
      <c r="D62" s="14">
        <f t="shared" si="0"/>
        <v>242306105</v>
      </c>
      <c r="E62" s="14">
        <v>13303133</v>
      </c>
      <c r="F62" s="15">
        <f>34944/7</f>
        <v>4992</v>
      </c>
      <c r="G62" s="14">
        <v>381</v>
      </c>
    </row>
    <row r="63" spans="1:7" ht="12.75">
      <c r="A63" s="20">
        <v>40992</v>
      </c>
      <c r="B63" s="14">
        <v>250923938.04</v>
      </c>
      <c r="C63" s="14">
        <v>591372.04</v>
      </c>
      <c r="D63" s="14">
        <f t="shared" si="0"/>
        <v>237368571</v>
      </c>
      <c r="E63" s="14">
        <v>12963995</v>
      </c>
      <c r="F63" s="15">
        <f>34944/7</f>
        <v>4992</v>
      </c>
      <c r="G63" s="14">
        <v>371</v>
      </c>
    </row>
    <row r="64" ht="12.75">
      <c r="A64" s="20"/>
    </row>
    <row r="65" spans="1:7" s="19" customFormat="1" ht="13.5" thickBot="1">
      <c r="A65" s="2" t="s">
        <v>8</v>
      </c>
      <c r="B65" s="16">
        <f>SUM(B12:B63)</f>
        <v>4205520778.6899996</v>
      </c>
      <c r="C65" s="16">
        <f>SUM(C12:C63)</f>
        <v>5731989.06</v>
      </c>
      <c r="D65" s="16">
        <f>SUM(D12:D63)</f>
        <v>3958728576.67</v>
      </c>
      <c r="E65" s="16">
        <f>SUM(E12:E63)</f>
        <v>241060212.95999998</v>
      </c>
      <c r="F65" s="21">
        <f>SUM(F12:F64)/COUNT(F12:F64)</f>
        <v>4116.337662337662</v>
      </c>
      <c r="G65" s="16">
        <f>+E65/(SUM(F43:F64)*7+F42*2)</f>
        <v>387.8771411745397</v>
      </c>
    </row>
    <row r="66" spans="1:7" ht="13.5" thickTop="1">
      <c r="A66" s="17"/>
      <c r="B66" s="18"/>
      <c r="C66" s="18"/>
      <c r="D66" s="18"/>
      <c r="E66" s="18"/>
      <c r="F66" s="19"/>
      <c r="G66" s="19"/>
    </row>
  </sheetData>
  <sheetProtection/>
  <mergeCells count="6">
    <mergeCell ref="A7:G7"/>
    <mergeCell ref="A1:G1"/>
    <mergeCell ref="A2:G2"/>
    <mergeCell ref="A3:G3"/>
    <mergeCell ref="A4:G4"/>
    <mergeCell ref="C5:D5"/>
  </mergeCells>
  <hyperlinks>
    <hyperlink ref="A4" r:id="rId1" display="www.rwnewyork.com"/>
  </hyperlinks>
  <printOptions horizontalCentered="1"/>
  <pageMargins left="0" right="0" top="0.5" bottom="0.25" header="0.5" footer="0.5"/>
  <pageSetup fitToHeight="1" fitToWidth="1" horizontalDpi="600" verticalDpi="600" orientation="portrait" scale="87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zoomScalePageLayoutView="0" workbookViewId="0" topLeftCell="A1">
      <pane ySplit="10" topLeftCell="A47" activePane="bottomLeft" state="frozen"/>
      <selection pane="topLeft" activeCell="A1" sqref="A1"/>
      <selection pane="bottomLeft" activeCell="A64" sqref="A64:G64"/>
    </sheetView>
  </sheetViews>
  <sheetFormatPr defaultColWidth="9.140625" defaultRowHeight="12.75"/>
  <cols>
    <col min="1" max="1" width="15.7109375" style="2" customWidth="1"/>
    <col min="2" max="3" width="16.28125" style="14" customWidth="1"/>
    <col min="4" max="4" width="15.7109375" style="14" customWidth="1"/>
    <col min="5" max="5" width="15.00390625" style="14" customWidth="1"/>
    <col min="6" max="6" width="10.140625" style="15" customWidth="1"/>
    <col min="7" max="7" width="11.57421875" style="14" customWidth="1"/>
    <col min="9" max="9" width="17.00390625" style="0" bestFit="1" customWidth="1"/>
  </cols>
  <sheetData>
    <row r="1" spans="1:7" ht="26.25" customHeight="1">
      <c r="A1" s="28" t="s">
        <v>16</v>
      </c>
      <c r="B1" s="28"/>
      <c r="C1" s="28"/>
      <c r="D1" s="28"/>
      <c r="E1" s="28"/>
      <c r="F1" s="28"/>
      <c r="G1" s="28"/>
    </row>
    <row r="2" spans="1:7" ht="15">
      <c r="A2" s="29" t="s">
        <v>12</v>
      </c>
      <c r="B2" s="29"/>
      <c r="C2" s="29"/>
      <c r="D2" s="29"/>
      <c r="E2" s="29"/>
      <c r="F2" s="29"/>
      <c r="G2" s="29"/>
    </row>
    <row r="3" spans="1:7" s="1" customFormat="1" ht="15">
      <c r="A3" s="29" t="s">
        <v>13</v>
      </c>
      <c r="B3" s="29"/>
      <c r="C3" s="29"/>
      <c r="D3" s="29"/>
      <c r="E3" s="29"/>
      <c r="F3" s="29"/>
      <c r="G3" s="29"/>
    </row>
    <row r="4" spans="1:7" s="1" customFormat="1" ht="15">
      <c r="A4" s="30" t="s">
        <v>14</v>
      </c>
      <c r="B4" s="30"/>
      <c r="C4" s="30"/>
      <c r="D4" s="30"/>
      <c r="E4" s="30"/>
      <c r="F4" s="30"/>
      <c r="G4" s="30"/>
    </row>
    <row r="5" spans="1:7" s="1" customFormat="1" ht="14.25">
      <c r="A5" s="23"/>
      <c r="B5" s="22"/>
      <c r="C5" s="31" t="s">
        <v>15</v>
      </c>
      <c r="D5" s="31"/>
      <c r="E5" s="22"/>
      <c r="F5" s="22"/>
      <c r="G5" s="22"/>
    </row>
    <row r="6" spans="1:7" s="6" customFormat="1" ht="8.25" customHeight="1">
      <c r="A6" s="2"/>
      <c r="B6" s="3"/>
      <c r="C6" s="3"/>
      <c r="D6" s="3"/>
      <c r="E6" s="4"/>
      <c r="F6" s="5"/>
      <c r="G6" s="4"/>
    </row>
    <row r="7" spans="1:7" s="1" customFormat="1" ht="12" customHeight="1">
      <c r="A7" s="32" t="s">
        <v>29</v>
      </c>
      <c r="B7" s="33"/>
      <c r="C7" s="33"/>
      <c r="D7" s="33"/>
      <c r="E7" s="33"/>
      <c r="F7" s="33"/>
      <c r="G7" s="34"/>
    </row>
    <row r="8" spans="1:7" s="11" customFormat="1" ht="12.75">
      <c r="A8" s="2"/>
      <c r="B8" s="3"/>
      <c r="C8" s="3"/>
      <c r="D8" s="3"/>
      <c r="E8" s="4"/>
      <c r="F8" s="5"/>
      <c r="G8" s="4"/>
    </row>
    <row r="9" spans="1:7" s="11" customFormat="1" ht="12">
      <c r="A9" s="8"/>
      <c r="B9" s="9" t="s">
        <v>0</v>
      </c>
      <c r="C9" s="9" t="s">
        <v>11</v>
      </c>
      <c r="D9" s="9" t="s">
        <v>0</v>
      </c>
      <c r="E9" s="9"/>
      <c r="F9" s="10" t="s">
        <v>1</v>
      </c>
      <c r="G9" s="9" t="s">
        <v>2</v>
      </c>
    </row>
    <row r="10" spans="1:7" ht="12.75">
      <c r="A10" s="12" t="s">
        <v>9</v>
      </c>
      <c r="B10" s="7" t="s">
        <v>3</v>
      </c>
      <c r="C10" s="7" t="s">
        <v>18</v>
      </c>
      <c r="D10" s="7" t="s">
        <v>4</v>
      </c>
      <c r="E10" s="7" t="s">
        <v>5</v>
      </c>
      <c r="F10" s="13" t="s">
        <v>6</v>
      </c>
      <c r="G10" s="7" t="s">
        <v>7</v>
      </c>
    </row>
    <row r="12" spans="1:7" ht="12.75">
      <c r="A12" s="20">
        <v>45017</v>
      </c>
      <c r="B12" s="14">
        <v>174640462.84000003</v>
      </c>
      <c r="C12" s="14">
        <v>491840.81000000006</v>
      </c>
      <c r="D12" s="14">
        <f aca="true" t="shared" si="0" ref="D12:D63">IF(ISBLANK(B12),"",B12-C12-E12)</f>
        <v>160953852.76000002</v>
      </c>
      <c r="E12" s="14">
        <v>13194769.270000003</v>
      </c>
      <c r="F12" s="15">
        <v>5109</v>
      </c>
      <c r="G12" s="14">
        <f aca="true" t="shared" si="1" ref="G12:G35">IF(ISBLANK(B12),"",E12/F12/7)</f>
        <v>368.95029136258154</v>
      </c>
    </row>
    <row r="13" spans="1:7" ht="12.75">
      <c r="A13" s="20">
        <f aca="true" t="shared" si="2" ref="A13:A63">+A12+7</f>
        <v>45024</v>
      </c>
      <c r="B13" s="14">
        <v>174469876.38</v>
      </c>
      <c r="C13" s="14">
        <v>493923.2799999999</v>
      </c>
      <c r="D13" s="14">
        <f>IF(ISBLANK(B13),"",B13-C13-E13)</f>
        <v>160912627.62</v>
      </c>
      <c r="E13" s="14">
        <v>13063325.479999999</v>
      </c>
      <c r="F13" s="15">
        <v>5127</v>
      </c>
      <c r="G13" s="14">
        <f t="shared" si="1"/>
        <v>363.9924623143581</v>
      </c>
    </row>
    <row r="14" spans="1:7" ht="12.75">
      <c r="A14" s="20">
        <f t="shared" si="2"/>
        <v>45031</v>
      </c>
      <c r="B14" s="14">
        <v>170969379.91</v>
      </c>
      <c r="C14" s="14">
        <v>494456.49000000005</v>
      </c>
      <c r="D14" s="14">
        <f t="shared" si="0"/>
        <v>157206439.79</v>
      </c>
      <c r="E14" s="14">
        <v>13268483.63</v>
      </c>
      <c r="F14" s="15">
        <v>5132</v>
      </c>
      <c r="G14" s="14">
        <f t="shared" si="1"/>
        <v>369.34872592138964</v>
      </c>
    </row>
    <row r="15" spans="1:7" ht="12.75">
      <c r="A15" s="20">
        <f t="shared" si="2"/>
        <v>45038</v>
      </c>
      <c r="B15" s="14">
        <v>164950051.36</v>
      </c>
      <c r="C15" s="14">
        <v>471343.25</v>
      </c>
      <c r="D15" s="14">
        <f>IF(ISBLANK(B15),"",B15-C15-E15)</f>
        <v>151666525.75</v>
      </c>
      <c r="E15" s="14">
        <v>12812182.360000001</v>
      </c>
      <c r="F15" s="15">
        <v>5132</v>
      </c>
      <c r="G15" s="14">
        <f t="shared" si="1"/>
        <v>356.64687562632224</v>
      </c>
    </row>
    <row r="16" spans="1:7" ht="12.75">
      <c r="A16" s="20">
        <f t="shared" si="2"/>
        <v>45045</v>
      </c>
      <c r="B16" s="14">
        <v>169324406.88</v>
      </c>
      <c r="C16" s="14">
        <v>476158.80999999994</v>
      </c>
      <c r="D16" s="14">
        <f>IF(ISBLANK(B16),"",B16-C16-E16)</f>
        <v>155842510.11</v>
      </c>
      <c r="E16" s="14">
        <v>13005737.959999992</v>
      </c>
      <c r="F16" s="15">
        <v>5132</v>
      </c>
      <c r="G16" s="14">
        <f t="shared" si="1"/>
        <v>362.03479456630646</v>
      </c>
    </row>
    <row r="17" spans="1:7" ht="12.75">
      <c r="A17" s="20">
        <f t="shared" si="2"/>
        <v>45052</v>
      </c>
      <c r="B17" s="14">
        <v>171171300.52</v>
      </c>
      <c r="C17" s="14">
        <v>478327.98000000004</v>
      </c>
      <c r="D17" s="14">
        <f aca="true" t="shared" si="3" ref="D17:D35">IF(ISBLANK(B17),"",B17-C17-E17)</f>
        <v>157434465.38000003</v>
      </c>
      <c r="E17" s="14">
        <v>13258507.159999989</v>
      </c>
      <c r="F17" s="15">
        <v>5132</v>
      </c>
      <c r="G17" s="14">
        <f t="shared" si="1"/>
        <v>369.07101547711807</v>
      </c>
    </row>
    <row r="18" spans="1:7" ht="12.75">
      <c r="A18" s="20">
        <f t="shared" si="2"/>
        <v>45059</v>
      </c>
      <c r="B18" s="14">
        <v>165641982.54</v>
      </c>
      <c r="C18" s="14">
        <v>459009.7</v>
      </c>
      <c r="D18" s="14">
        <f t="shared" si="3"/>
        <v>151865117.35</v>
      </c>
      <c r="E18" s="14">
        <v>13317855.490000006</v>
      </c>
      <c r="F18" s="15">
        <v>5132</v>
      </c>
      <c r="G18" s="14">
        <f t="shared" si="1"/>
        <v>370.723067865494</v>
      </c>
    </row>
    <row r="19" spans="1:7" ht="12.75">
      <c r="A19" s="20">
        <f t="shared" si="2"/>
        <v>45066</v>
      </c>
      <c r="B19" s="14">
        <v>168038480.99</v>
      </c>
      <c r="C19" s="14">
        <v>482917.34</v>
      </c>
      <c r="D19" s="14">
        <f t="shared" si="3"/>
        <v>154692155.09</v>
      </c>
      <c r="E19" s="14">
        <v>12863408.560000002</v>
      </c>
      <c r="F19" s="15">
        <v>5115</v>
      </c>
      <c r="G19" s="14">
        <f t="shared" si="1"/>
        <v>359.2629118838152</v>
      </c>
    </row>
    <row r="20" spans="1:7" ht="12.75">
      <c r="A20" s="20">
        <f t="shared" si="2"/>
        <v>45073</v>
      </c>
      <c r="B20" s="14">
        <v>166949485.07000002</v>
      </c>
      <c r="C20" s="14">
        <v>463284.69</v>
      </c>
      <c r="D20" s="14">
        <f t="shared" si="3"/>
        <v>153393628.67000002</v>
      </c>
      <c r="E20" s="14">
        <v>13092571.709999995</v>
      </c>
      <c r="F20" s="15">
        <v>5119</v>
      </c>
      <c r="G20" s="14">
        <f t="shared" si="1"/>
        <v>365.3774930929589</v>
      </c>
    </row>
    <row r="21" spans="1:7" ht="12.75">
      <c r="A21" s="20">
        <f t="shared" si="2"/>
        <v>45080</v>
      </c>
      <c r="B21" s="14">
        <v>182034513.62</v>
      </c>
      <c r="C21" s="14">
        <v>517617.18000000005</v>
      </c>
      <c r="D21" s="14">
        <f t="shared" si="3"/>
        <v>167494823.54999998</v>
      </c>
      <c r="E21" s="14">
        <v>14022072.890000004</v>
      </c>
      <c r="F21" s="15">
        <v>5132</v>
      </c>
      <c r="G21" s="14">
        <f t="shared" si="1"/>
        <v>390.3260463756821</v>
      </c>
    </row>
    <row r="22" spans="1:7" ht="12.75">
      <c r="A22" s="20">
        <f t="shared" si="2"/>
        <v>45087</v>
      </c>
      <c r="B22" s="14">
        <v>168570864.53</v>
      </c>
      <c r="C22" s="14">
        <v>475234.18000000005</v>
      </c>
      <c r="D22" s="14">
        <f t="shared" si="3"/>
        <v>155371489.39999998</v>
      </c>
      <c r="E22" s="14">
        <v>12724140.950000005</v>
      </c>
      <c r="F22" s="15">
        <v>5134</v>
      </c>
      <c r="G22" s="14">
        <f t="shared" si="1"/>
        <v>354.0581264956315</v>
      </c>
    </row>
    <row r="23" spans="1:7" ht="12.75">
      <c r="A23" s="20">
        <f t="shared" si="2"/>
        <v>45094</v>
      </c>
      <c r="B23" s="14">
        <v>167304909.05</v>
      </c>
      <c r="C23" s="14">
        <v>460170.69999999995</v>
      </c>
      <c r="D23" s="14">
        <f t="shared" si="3"/>
        <v>154404453.63000003</v>
      </c>
      <c r="E23" s="14">
        <v>12440284.719999999</v>
      </c>
      <c r="F23" s="15">
        <v>5140</v>
      </c>
      <c r="G23" s="14">
        <f t="shared" si="1"/>
        <v>345.7555508615897</v>
      </c>
    </row>
    <row r="24" spans="1:7" ht="12.75">
      <c r="A24" s="20">
        <f t="shared" si="2"/>
        <v>45101</v>
      </c>
      <c r="B24" s="14">
        <v>168857597.55000004</v>
      </c>
      <c r="C24" s="14">
        <v>475829.07000000007</v>
      </c>
      <c r="D24" s="14">
        <f t="shared" si="3"/>
        <v>155343720.45000005</v>
      </c>
      <c r="E24" s="14">
        <v>13038048.030000003</v>
      </c>
      <c r="F24" s="15">
        <v>5092</v>
      </c>
      <c r="G24" s="14">
        <f t="shared" si="1"/>
        <v>365.7852101335429</v>
      </c>
    </row>
    <row r="25" spans="1:7" ht="12.75">
      <c r="A25" s="20">
        <f t="shared" si="2"/>
        <v>45108</v>
      </c>
      <c r="B25" s="14">
        <v>164872385.57999998</v>
      </c>
      <c r="C25" s="14">
        <v>463662.49000000005</v>
      </c>
      <c r="D25" s="14">
        <f t="shared" si="3"/>
        <v>152075903.79999998</v>
      </c>
      <c r="E25" s="14">
        <v>12332819.290000001</v>
      </c>
      <c r="F25" s="15">
        <v>5117</v>
      </c>
      <c r="G25" s="14">
        <f t="shared" si="1"/>
        <v>344.30942488623356</v>
      </c>
    </row>
    <row r="26" spans="1:7" ht="12.75">
      <c r="A26" s="20">
        <f t="shared" si="2"/>
        <v>45115</v>
      </c>
      <c r="B26" s="14">
        <v>191600367.27</v>
      </c>
      <c r="C26" s="14">
        <v>518544.34</v>
      </c>
      <c r="D26" s="14">
        <f t="shared" si="3"/>
        <v>176160267.26000002</v>
      </c>
      <c r="E26" s="14">
        <v>14921555.669999998</v>
      </c>
      <c r="F26" s="15">
        <v>5141</v>
      </c>
      <c r="G26" s="14">
        <f t="shared" si="1"/>
        <v>414.63738766776885</v>
      </c>
    </row>
    <row r="27" spans="1:7" ht="12.75">
      <c r="A27" s="20">
        <f t="shared" si="2"/>
        <v>45122</v>
      </c>
      <c r="B27" s="14">
        <v>164247162.68</v>
      </c>
      <c r="C27" s="14">
        <v>442228.44</v>
      </c>
      <c r="D27" s="14">
        <f t="shared" si="3"/>
        <v>151208629.91</v>
      </c>
      <c r="E27" s="14">
        <v>12596304.33000001</v>
      </c>
      <c r="F27" s="15">
        <v>5129</v>
      </c>
      <c r="G27" s="14">
        <f t="shared" si="1"/>
        <v>350.8426685792277</v>
      </c>
    </row>
    <row r="28" spans="1:7" ht="12.75">
      <c r="A28" s="20">
        <f t="shared" si="2"/>
        <v>45129</v>
      </c>
      <c r="B28" s="14">
        <v>163925754.64</v>
      </c>
      <c r="C28" s="14">
        <v>442538.05000000005</v>
      </c>
      <c r="D28" s="14">
        <f t="shared" si="3"/>
        <v>150925687.17999998</v>
      </c>
      <c r="E28" s="14">
        <v>12557529.41</v>
      </c>
      <c r="F28" s="15">
        <v>5103</v>
      </c>
      <c r="G28" s="14">
        <f t="shared" si="1"/>
        <v>351.5447330701828</v>
      </c>
    </row>
    <row r="29" spans="1:7" ht="12.75">
      <c r="A29" s="20">
        <f t="shared" si="2"/>
        <v>45136</v>
      </c>
      <c r="B29" s="14">
        <v>165508462.74999997</v>
      </c>
      <c r="C29" s="14">
        <v>438634.60000000003</v>
      </c>
      <c r="D29" s="14">
        <f t="shared" si="3"/>
        <v>152539986.76999998</v>
      </c>
      <c r="E29" s="14">
        <v>12529841.379999997</v>
      </c>
      <c r="F29" s="15">
        <v>5044</v>
      </c>
      <c r="G29" s="14">
        <f t="shared" si="1"/>
        <v>354.8725892149087</v>
      </c>
    </row>
    <row r="30" spans="1:7" ht="12.75">
      <c r="A30" s="20">
        <f t="shared" si="2"/>
        <v>45143</v>
      </c>
      <c r="B30" s="14">
        <v>175853512.59</v>
      </c>
      <c r="C30" s="14">
        <v>464658.5</v>
      </c>
      <c r="D30" s="14">
        <f t="shared" si="3"/>
        <v>162231034.12</v>
      </c>
      <c r="E30" s="14">
        <v>13157819.969999995</v>
      </c>
      <c r="F30" s="15">
        <v>5037</v>
      </c>
      <c r="G30" s="14">
        <f t="shared" si="1"/>
        <v>373.1762094784309</v>
      </c>
    </row>
    <row r="31" spans="1:7" ht="12.75">
      <c r="A31" s="20">
        <f t="shared" si="2"/>
        <v>45150</v>
      </c>
      <c r="B31" s="14">
        <v>167129824.45999998</v>
      </c>
      <c r="C31" s="14">
        <v>437961.81</v>
      </c>
      <c r="D31" s="14">
        <f t="shared" si="3"/>
        <v>153901076.89</v>
      </c>
      <c r="E31" s="14">
        <v>12790785.760000005</v>
      </c>
      <c r="F31" s="15">
        <v>4948</v>
      </c>
      <c r="G31" s="14">
        <f t="shared" si="1"/>
        <v>369.2916549255112</v>
      </c>
    </row>
    <row r="32" spans="1:7" ht="12.75">
      <c r="A32" s="20">
        <f t="shared" si="2"/>
        <v>45157</v>
      </c>
      <c r="B32" s="14">
        <v>165721097.74999997</v>
      </c>
      <c r="C32" s="14">
        <v>431733.98999999993</v>
      </c>
      <c r="D32" s="14">
        <f t="shared" si="3"/>
        <v>152660671.08999994</v>
      </c>
      <c r="E32" s="14">
        <v>12628692.670000004</v>
      </c>
      <c r="F32" s="15">
        <v>4936</v>
      </c>
      <c r="G32" s="14">
        <f t="shared" si="1"/>
        <v>365.49816711044235</v>
      </c>
    </row>
    <row r="33" spans="1:7" ht="12.75">
      <c r="A33" s="20">
        <f t="shared" si="2"/>
        <v>45164</v>
      </c>
      <c r="B33" s="14">
        <v>163242818.74</v>
      </c>
      <c r="C33" s="14">
        <v>433698.54000000004</v>
      </c>
      <c r="D33" s="14">
        <f t="shared" si="3"/>
        <v>150476432.48000002</v>
      </c>
      <c r="E33" s="14">
        <v>12332687.719999995</v>
      </c>
      <c r="F33" s="15">
        <v>4929</v>
      </c>
      <c r="G33" s="14">
        <f t="shared" si="1"/>
        <v>357.43812769904054</v>
      </c>
    </row>
    <row r="34" spans="1:7" ht="12.75">
      <c r="A34" s="20">
        <f t="shared" si="2"/>
        <v>45171</v>
      </c>
      <c r="B34" s="14">
        <v>173260363.28</v>
      </c>
      <c r="C34" s="14">
        <v>453278</v>
      </c>
      <c r="D34" s="14">
        <f t="shared" si="3"/>
        <v>159627550.53</v>
      </c>
      <c r="E34" s="14">
        <v>13179534.749999998</v>
      </c>
      <c r="F34" s="15">
        <v>5005</v>
      </c>
      <c r="G34" s="14">
        <f t="shared" si="1"/>
        <v>376.1819537605251</v>
      </c>
    </row>
    <row r="35" spans="1:7" ht="12.75">
      <c r="A35" s="20">
        <f t="shared" si="2"/>
        <v>45178</v>
      </c>
      <c r="B35" s="14">
        <v>179186066.75</v>
      </c>
      <c r="C35" s="14">
        <v>479782.65</v>
      </c>
      <c r="D35" s="14">
        <f t="shared" si="3"/>
        <v>165179401.64</v>
      </c>
      <c r="E35" s="14">
        <v>13526882.459999997</v>
      </c>
      <c r="F35" s="15">
        <v>4969</v>
      </c>
      <c r="G35" s="14">
        <f t="shared" si="1"/>
        <v>388.8934956731736</v>
      </c>
    </row>
    <row r="36" spans="1:7" ht="12.75">
      <c r="A36" s="20">
        <f t="shared" si="2"/>
        <v>45185</v>
      </c>
      <c r="B36" s="14">
        <v>163302417.07999998</v>
      </c>
      <c r="C36" s="14">
        <v>436557.97000000003</v>
      </c>
      <c r="D36" s="14">
        <f t="shared" si="0"/>
        <v>150624673.48</v>
      </c>
      <c r="E36" s="14">
        <v>12241185.630000008</v>
      </c>
      <c r="F36" s="15">
        <v>4918</v>
      </c>
      <c r="G36" s="14">
        <f>IF(ISBLANK(B36),"",E36/F36/7)</f>
        <v>355.5796674025449</v>
      </c>
    </row>
    <row r="37" spans="1:7" ht="12.75">
      <c r="A37" s="20">
        <f t="shared" si="2"/>
        <v>45192</v>
      </c>
      <c r="B37" s="14">
        <v>166832065.87</v>
      </c>
      <c r="C37" s="14">
        <v>430873.78</v>
      </c>
      <c r="D37" s="14">
        <f t="shared" si="0"/>
        <v>154592103.67000002</v>
      </c>
      <c r="E37" s="14">
        <v>11809088.419999996</v>
      </c>
      <c r="F37" s="15">
        <v>4918</v>
      </c>
      <c r="G37" s="14">
        <f aca="true" t="shared" si="4" ref="G37:G63">IF(ISBLANK(B37),"",E37/F37/7)</f>
        <v>343.0281885783999</v>
      </c>
    </row>
    <row r="38" spans="1:7" ht="12.75">
      <c r="A38" s="20">
        <f t="shared" si="2"/>
        <v>45199</v>
      </c>
      <c r="B38" s="25">
        <v>173400693.57</v>
      </c>
      <c r="C38" s="25">
        <v>416356.45999999996</v>
      </c>
      <c r="D38" s="25">
        <f t="shared" si="0"/>
        <v>160183457.99999997</v>
      </c>
      <c r="E38" s="25">
        <v>12800879.110000003</v>
      </c>
      <c r="F38" s="26">
        <v>4918</v>
      </c>
      <c r="G38" s="25">
        <f t="shared" si="4"/>
        <v>371.83753877883004</v>
      </c>
    </row>
    <row r="39" spans="1:7" ht="12.75">
      <c r="A39" s="20">
        <f t="shared" si="2"/>
        <v>45206</v>
      </c>
      <c r="B39" s="27">
        <v>169140698.98</v>
      </c>
      <c r="C39" s="27">
        <v>471223.87</v>
      </c>
      <c r="D39" s="25">
        <f t="shared" si="0"/>
        <v>155693406.95</v>
      </c>
      <c r="E39" s="25">
        <v>12976068.160000002</v>
      </c>
      <c r="F39" s="26">
        <v>5004</v>
      </c>
      <c r="G39" s="25">
        <f t="shared" si="4"/>
        <v>370.4484458147768</v>
      </c>
    </row>
    <row r="40" spans="1:7" ht="12.75">
      <c r="A40" s="20">
        <f t="shared" si="2"/>
        <v>45213</v>
      </c>
      <c r="B40" s="25">
        <v>156166450.35999998</v>
      </c>
      <c r="C40" s="25">
        <v>471297.44</v>
      </c>
      <c r="D40" s="25">
        <f t="shared" si="0"/>
        <v>143552861.44</v>
      </c>
      <c r="E40" s="25">
        <v>12142291.48</v>
      </c>
      <c r="F40" s="26">
        <v>4980</v>
      </c>
      <c r="G40" s="25">
        <f t="shared" si="4"/>
        <v>348.31587722317846</v>
      </c>
    </row>
    <row r="41" spans="1:7" ht="12.75">
      <c r="A41" s="20">
        <f t="shared" si="2"/>
        <v>45220</v>
      </c>
      <c r="B41" s="25">
        <v>158717057.84</v>
      </c>
      <c r="C41" s="25">
        <v>334143.28</v>
      </c>
      <c r="D41" s="25">
        <f t="shared" si="0"/>
        <v>145609162.54</v>
      </c>
      <c r="E41" s="25">
        <v>12773752.02</v>
      </c>
      <c r="F41" s="26">
        <v>4908</v>
      </c>
      <c r="G41" s="25">
        <f t="shared" si="4"/>
        <v>371.80556584002795</v>
      </c>
    </row>
    <row r="42" spans="1:7" ht="12.75">
      <c r="A42" s="20">
        <f t="shared" si="2"/>
        <v>45227</v>
      </c>
      <c r="B42" s="25">
        <v>157467140</v>
      </c>
      <c r="C42" s="25">
        <v>670557.21</v>
      </c>
      <c r="D42" s="25">
        <f t="shared" si="0"/>
        <v>144488709.31</v>
      </c>
      <c r="E42" s="25">
        <v>12307873.48</v>
      </c>
      <c r="F42" s="26">
        <v>4820</v>
      </c>
      <c r="G42" s="25">
        <f t="shared" si="4"/>
        <v>364.78581742738595</v>
      </c>
    </row>
    <row r="43" spans="1:7" ht="12.75">
      <c r="A43" s="20">
        <f t="shared" si="2"/>
        <v>45234</v>
      </c>
      <c r="B43" s="25">
        <v>161845368.74</v>
      </c>
      <c r="C43" s="25">
        <v>489082.18</v>
      </c>
      <c r="D43" s="25">
        <f t="shared" si="0"/>
        <v>148916124.83</v>
      </c>
      <c r="E43" s="25">
        <v>12440161.729999995</v>
      </c>
      <c r="F43" s="26">
        <v>4872</v>
      </c>
      <c r="G43" s="25">
        <f t="shared" si="4"/>
        <v>364.77133855266226</v>
      </c>
    </row>
    <row r="44" spans="1:9" ht="12.75">
      <c r="A44" s="20">
        <f t="shared" si="2"/>
        <v>45241</v>
      </c>
      <c r="B44" s="14">
        <v>163504948.33</v>
      </c>
      <c r="C44" s="14">
        <v>471393.01</v>
      </c>
      <c r="D44" s="14">
        <f t="shared" si="0"/>
        <v>150282294.87000003</v>
      </c>
      <c r="E44" s="14">
        <v>12751260.449999988</v>
      </c>
      <c r="F44" s="26">
        <v>4879</v>
      </c>
      <c r="G44" s="25">
        <f t="shared" si="4"/>
        <v>373.35696571311416</v>
      </c>
      <c r="I44" s="14"/>
    </row>
    <row r="45" spans="1:9" ht="12.75">
      <c r="A45" s="20">
        <f t="shared" si="2"/>
        <v>45248</v>
      </c>
      <c r="B45" s="14">
        <v>151451131.79</v>
      </c>
      <c r="C45" s="14">
        <v>468371.04000000004</v>
      </c>
      <c r="D45" s="14">
        <f t="shared" si="0"/>
        <v>139116896.51999998</v>
      </c>
      <c r="E45" s="14">
        <v>11865864.230000004</v>
      </c>
      <c r="F45" s="26">
        <v>4867</v>
      </c>
      <c r="G45" s="25">
        <f t="shared" si="4"/>
        <v>348.28918459596713</v>
      </c>
      <c r="I45" s="14"/>
    </row>
    <row r="46" spans="1:9" ht="12.75">
      <c r="A46" s="20">
        <f t="shared" si="2"/>
        <v>45255</v>
      </c>
      <c r="B46" s="14">
        <v>164423385.5</v>
      </c>
      <c r="C46" s="14">
        <v>470799.04000000004</v>
      </c>
      <c r="D46" s="14">
        <f t="shared" si="0"/>
        <v>151010983.17000002</v>
      </c>
      <c r="E46" s="14">
        <v>12941603.29</v>
      </c>
      <c r="F46" s="26">
        <v>4867</v>
      </c>
      <c r="G46" s="25">
        <f t="shared" si="4"/>
        <v>379.86448941853297</v>
      </c>
      <c r="I46" s="14"/>
    </row>
    <row r="47" spans="1:9" ht="12.75">
      <c r="A47" s="20">
        <f t="shared" si="2"/>
        <v>45262</v>
      </c>
      <c r="B47" s="14">
        <v>152797254.47</v>
      </c>
      <c r="C47" s="14">
        <v>471918.88</v>
      </c>
      <c r="D47" s="14">
        <f t="shared" si="0"/>
        <v>140588507.07</v>
      </c>
      <c r="E47" s="14">
        <v>11736828.520000005</v>
      </c>
      <c r="F47" s="26">
        <v>4934</v>
      </c>
      <c r="G47" s="25">
        <f t="shared" si="4"/>
        <v>339.82362962534035</v>
      </c>
      <c r="I47" s="14"/>
    </row>
    <row r="48" spans="1:9" ht="12.75">
      <c r="A48" s="20">
        <f t="shared" si="2"/>
        <v>45269</v>
      </c>
      <c r="B48" s="14">
        <v>153770596.74</v>
      </c>
      <c r="C48" s="14">
        <v>482646.5200000001</v>
      </c>
      <c r="D48" s="14">
        <f t="shared" si="0"/>
        <v>141518716.4</v>
      </c>
      <c r="E48" s="14">
        <v>11769233.82</v>
      </c>
      <c r="F48" s="26">
        <v>4961</v>
      </c>
      <c r="G48" s="25">
        <f t="shared" si="4"/>
        <v>338.90730037146886</v>
      </c>
      <c r="I48" s="14"/>
    </row>
    <row r="49" spans="1:9" ht="12.75">
      <c r="A49" s="20">
        <f t="shared" si="2"/>
        <v>45276</v>
      </c>
      <c r="B49" s="14">
        <v>148711155.42999998</v>
      </c>
      <c r="C49" s="14">
        <v>469343.12</v>
      </c>
      <c r="D49" s="14">
        <f t="shared" si="0"/>
        <v>136962809.15999997</v>
      </c>
      <c r="E49" s="14">
        <v>11279003.149999999</v>
      </c>
      <c r="F49" s="26">
        <v>4950</v>
      </c>
      <c r="G49" s="25">
        <f t="shared" si="4"/>
        <v>325.5123564213564</v>
      </c>
      <c r="I49" s="14"/>
    </row>
    <row r="50" spans="1:9" ht="12.75">
      <c r="A50" s="20">
        <f t="shared" si="2"/>
        <v>45283</v>
      </c>
      <c r="B50" s="14">
        <v>151834640.94</v>
      </c>
      <c r="C50" s="14">
        <v>454511.65</v>
      </c>
      <c r="D50" s="14">
        <f t="shared" si="0"/>
        <v>140058561.72</v>
      </c>
      <c r="E50" s="14">
        <v>11321567.569999998</v>
      </c>
      <c r="F50" s="26">
        <v>5003</v>
      </c>
      <c r="G50" s="25">
        <f t="shared" si="4"/>
        <v>323.2793915079523</v>
      </c>
      <c r="I50" s="14"/>
    </row>
    <row r="51" spans="1:9" ht="12.75">
      <c r="A51" s="20">
        <f t="shared" si="2"/>
        <v>45290</v>
      </c>
      <c r="B51" s="14">
        <v>192788418.07</v>
      </c>
      <c r="C51" s="14">
        <v>542143.45</v>
      </c>
      <c r="D51" s="14">
        <f t="shared" si="0"/>
        <v>177422048.91</v>
      </c>
      <c r="E51" s="14">
        <v>14824225.710000003</v>
      </c>
      <c r="F51" s="26">
        <v>5024</v>
      </c>
      <c r="G51" s="25">
        <f t="shared" si="4"/>
        <v>421.525981289809</v>
      </c>
      <c r="I51" s="14"/>
    </row>
    <row r="52" spans="1:9" ht="12.75">
      <c r="A52" s="20">
        <f t="shared" si="2"/>
        <v>45297</v>
      </c>
      <c r="B52" s="14">
        <v>180014290.45000002</v>
      </c>
      <c r="C52" s="14">
        <v>558280.19</v>
      </c>
      <c r="D52" s="14">
        <f t="shared" si="0"/>
        <v>165599708.35000002</v>
      </c>
      <c r="E52" s="14">
        <v>13856301.910000002</v>
      </c>
      <c r="F52" s="26">
        <v>5003</v>
      </c>
      <c r="G52" s="25">
        <f t="shared" si="4"/>
        <v>395.6569461180435</v>
      </c>
      <c r="I52" s="14"/>
    </row>
    <row r="53" spans="1:7" ht="12.75">
      <c r="A53" s="20">
        <f t="shared" si="2"/>
        <v>45304</v>
      </c>
      <c r="B53" s="25">
        <v>156536531.16</v>
      </c>
      <c r="C53" s="25">
        <v>492486.02999999997</v>
      </c>
      <c r="D53" s="25">
        <f t="shared" si="0"/>
        <v>143887806.1</v>
      </c>
      <c r="E53" s="25">
        <v>12156239.029999997</v>
      </c>
      <c r="F53" s="26">
        <v>4880</v>
      </c>
      <c r="G53" s="25">
        <f t="shared" si="4"/>
        <v>355.8617983021077</v>
      </c>
    </row>
    <row r="54" spans="1:7" ht="12.75">
      <c r="A54" s="20">
        <f t="shared" si="2"/>
        <v>45311</v>
      </c>
      <c r="B54" s="25">
        <v>152534931.07</v>
      </c>
      <c r="C54" s="25">
        <v>493325.86</v>
      </c>
      <c r="D54" s="25">
        <f t="shared" si="0"/>
        <v>141027625.88</v>
      </c>
      <c r="E54" s="25">
        <v>11013979.329999998</v>
      </c>
      <c r="F54" s="26">
        <v>4856</v>
      </c>
      <c r="G54" s="25">
        <f t="shared" si="4"/>
        <v>324.0168077783007</v>
      </c>
    </row>
    <row r="55" spans="1:7" ht="12.75">
      <c r="A55" s="20">
        <f t="shared" si="2"/>
        <v>45318</v>
      </c>
      <c r="B55" s="25">
        <v>160134490.97999996</v>
      </c>
      <c r="C55" s="25">
        <v>493868.65</v>
      </c>
      <c r="D55" s="25">
        <f t="shared" si="0"/>
        <v>147274732.04999995</v>
      </c>
      <c r="E55" s="25">
        <v>12365890.28</v>
      </c>
      <c r="F55" s="26">
        <v>4850</v>
      </c>
      <c r="G55" s="25">
        <f t="shared" si="4"/>
        <v>364.2382998527246</v>
      </c>
    </row>
    <row r="56" spans="1:7" ht="12.75">
      <c r="A56" s="20">
        <f t="shared" si="2"/>
        <v>45325</v>
      </c>
      <c r="B56" s="25">
        <v>168672144.7</v>
      </c>
      <c r="C56" s="25">
        <v>522265.56</v>
      </c>
      <c r="D56" s="25">
        <f t="shared" si="0"/>
        <v>154957346.04999998</v>
      </c>
      <c r="E56" s="25">
        <v>13192533.08999999</v>
      </c>
      <c r="F56" s="26">
        <v>4863</v>
      </c>
      <c r="G56" s="25">
        <f t="shared" si="4"/>
        <v>387.54834141182664</v>
      </c>
    </row>
    <row r="57" spans="1:7" ht="12.75">
      <c r="A57" s="20">
        <f t="shared" si="2"/>
        <v>45332</v>
      </c>
      <c r="B57" s="25">
        <v>172220175.09999996</v>
      </c>
      <c r="C57" s="25">
        <v>535111.36</v>
      </c>
      <c r="D57" s="25">
        <f t="shared" si="0"/>
        <v>158357264.65999997</v>
      </c>
      <c r="E57" s="25">
        <v>13327799.079999998</v>
      </c>
      <c r="F57" s="26">
        <v>4909</v>
      </c>
      <c r="G57" s="25">
        <f t="shared" si="4"/>
        <v>387.853187439979</v>
      </c>
    </row>
    <row r="58" spans="1:7" ht="12.75">
      <c r="A58" s="20">
        <f t="shared" si="2"/>
        <v>45339</v>
      </c>
      <c r="B58" s="25">
        <v>162326696.93</v>
      </c>
      <c r="C58" s="25">
        <v>505050.05</v>
      </c>
      <c r="D58" s="25">
        <f t="shared" si="0"/>
        <v>149287779.73999998</v>
      </c>
      <c r="E58" s="25">
        <v>12533867.140000004</v>
      </c>
      <c r="F58" s="26">
        <v>4960</v>
      </c>
      <c r="G58" s="25">
        <f t="shared" si="4"/>
        <v>360.99847753456237</v>
      </c>
    </row>
    <row r="59" spans="1:7" ht="12.75">
      <c r="A59" s="20">
        <f t="shared" si="2"/>
        <v>45346</v>
      </c>
      <c r="B59" s="25">
        <v>186231193.17</v>
      </c>
      <c r="C59" s="25">
        <v>552719.5800000001</v>
      </c>
      <c r="D59" s="25">
        <f t="shared" si="0"/>
        <v>171187475.79999998</v>
      </c>
      <c r="E59" s="25">
        <v>14490997.789999994</v>
      </c>
      <c r="F59" s="26">
        <v>4887</v>
      </c>
      <c r="G59" s="25">
        <f t="shared" si="4"/>
        <v>423.60191148528145</v>
      </c>
    </row>
    <row r="60" spans="1:7" ht="12.75">
      <c r="A60" s="20">
        <f t="shared" si="2"/>
        <v>45353</v>
      </c>
      <c r="B60" s="25">
        <v>182197729.71</v>
      </c>
      <c r="C60" s="25">
        <v>527577.37</v>
      </c>
      <c r="D60" s="25">
        <f t="shared" si="0"/>
        <v>167676725.51999998</v>
      </c>
      <c r="E60" s="25">
        <v>13993426.820000008</v>
      </c>
      <c r="F60" s="26">
        <v>4858</v>
      </c>
      <c r="G60" s="25">
        <f t="shared" si="4"/>
        <v>411.49875963065364</v>
      </c>
    </row>
    <row r="61" spans="1:7" ht="12.75">
      <c r="A61" s="20">
        <f t="shared" si="2"/>
        <v>45360</v>
      </c>
      <c r="B61" s="25">
        <v>178043183.87</v>
      </c>
      <c r="C61" s="25">
        <v>528538.25</v>
      </c>
      <c r="D61" s="25">
        <f t="shared" si="0"/>
        <v>164277997.65</v>
      </c>
      <c r="E61" s="25">
        <v>13236647.970000003</v>
      </c>
      <c r="F61" s="26">
        <v>4816</v>
      </c>
      <c r="G61" s="25">
        <f t="shared" si="4"/>
        <v>392.63905938538215</v>
      </c>
    </row>
    <row r="62" spans="1:7" ht="12.75">
      <c r="A62" s="20">
        <f t="shared" si="2"/>
        <v>45367</v>
      </c>
      <c r="B62" s="25">
        <v>180289103.56</v>
      </c>
      <c r="C62" s="25">
        <v>562629.41</v>
      </c>
      <c r="D62" s="25">
        <f t="shared" si="0"/>
        <v>165647398.66000003</v>
      </c>
      <c r="E62" s="25">
        <v>14079075.489999995</v>
      </c>
      <c r="F62" s="26">
        <v>4877</v>
      </c>
      <c r="G62" s="25">
        <f t="shared" si="4"/>
        <v>412.4044491637129</v>
      </c>
    </row>
    <row r="63" spans="1:7" ht="12.75">
      <c r="A63" s="20">
        <f t="shared" si="2"/>
        <v>45374</v>
      </c>
      <c r="B63" s="25">
        <v>168367405.57999998</v>
      </c>
      <c r="C63" s="25">
        <v>523491.24</v>
      </c>
      <c r="D63" s="25">
        <f t="shared" si="0"/>
        <v>155271851.88</v>
      </c>
      <c r="E63" s="25">
        <v>12572062.459999993</v>
      </c>
      <c r="F63" s="26">
        <v>4929</v>
      </c>
      <c r="G63" s="25">
        <f t="shared" si="4"/>
        <v>364.3759226733905</v>
      </c>
    </row>
    <row r="64" spans="1:7" ht="12.75">
      <c r="A64" s="20"/>
      <c r="B64" s="25"/>
      <c r="C64" s="25"/>
      <c r="D64" s="25"/>
      <c r="E64" s="25"/>
      <c r="F64" s="26"/>
      <c r="G64" s="25"/>
    </row>
    <row r="65" ht="12.75">
      <c r="A65" s="20"/>
    </row>
    <row r="66" spans="1:7" s="19" customFormat="1" ht="13.5" thickBot="1">
      <c r="A66" s="2" t="s">
        <v>8</v>
      </c>
      <c r="B66" s="16">
        <f>IF(SUM(B12:B65)=0,"",SUM(B12:B65))</f>
        <v>8721192427.72</v>
      </c>
      <c r="C66" s="16">
        <f>IF(SUM(C12:C65)=0,"",SUM(C12:C65))</f>
        <v>25093397.339999992</v>
      </c>
      <c r="D66" s="16">
        <f>IF(SUM(D12:D65)=0,"",SUM(D12:D65))</f>
        <v>8028643481.599999</v>
      </c>
      <c r="E66" s="16">
        <f>IF(SUM(E12:E65)=0,"",SUM(E12:E65))</f>
        <v>667455548.7800001</v>
      </c>
      <c r="F66" s="21">
        <f>_xlfn.IFERROR(SUM(F12:F65)/COUNT(F12:F65)," ")</f>
        <v>4990.326923076923</v>
      </c>
      <c r="G66" s="16">
        <f>_xlfn.IFERROR(E66/SUM(F12:F65)/7," ")</f>
        <v>367.44468214606394</v>
      </c>
    </row>
    <row r="67" spans="1:7" ht="13.5" thickTop="1">
      <c r="A67" s="17"/>
      <c r="B67" s="18"/>
      <c r="C67" s="18"/>
      <c r="D67" s="18"/>
      <c r="E67" s="18"/>
      <c r="F67" s="19"/>
      <c r="G67" s="19"/>
    </row>
  </sheetData>
  <sheetProtection/>
  <mergeCells count="6">
    <mergeCell ref="A1:G1"/>
    <mergeCell ref="A2:G2"/>
    <mergeCell ref="A3:G3"/>
    <mergeCell ref="A4:G4"/>
    <mergeCell ref="C5:D5"/>
    <mergeCell ref="A7:G7"/>
  </mergeCells>
  <hyperlinks>
    <hyperlink ref="A4" r:id="rId1" display="www.rwnewyork.com"/>
  </hyperlinks>
  <printOptions horizontalCentered="1"/>
  <pageMargins left="0" right="0" top="0.5" bottom="0.25" header="0.5" footer="0.5"/>
  <pageSetup fitToHeight="1" fitToWidth="1" horizontalDpi="600" verticalDpi="600" orientation="portrait" scale="86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zoomScalePageLayoutView="0" workbookViewId="0" topLeftCell="A1">
      <pane ySplit="10" topLeftCell="A47" activePane="bottomLeft" state="frozen"/>
      <selection pane="topLeft" activeCell="A1" sqref="A1"/>
      <selection pane="bottomLeft" activeCell="C70" sqref="C70"/>
    </sheetView>
  </sheetViews>
  <sheetFormatPr defaultColWidth="9.140625" defaultRowHeight="12.75"/>
  <cols>
    <col min="1" max="1" width="15.7109375" style="2" customWidth="1"/>
    <col min="2" max="3" width="16.28125" style="14" customWidth="1"/>
    <col min="4" max="4" width="15.7109375" style="14" customWidth="1"/>
    <col min="5" max="5" width="15.00390625" style="14" customWidth="1"/>
    <col min="6" max="6" width="10.140625" style="15" customWidth="1"/>
    <col min="7" max="7" width="11.57421875" style="14" customWidth="1"/>
  </cols>
  <sheetData>
    <row r="1" spans="1:7" ht="26.25" customHeight="1">
      <c r="A1" s="28" t="s">
        <v>16</v>
      </c>
      <c r="B1" s="28"/>
      <c r="C1" s="28"/>
      <c r="D1" s="28"/>
      <c r="E1" s="28"/>
      <c r="F1" s="28"/>
      <c r="G1" s="28"/>
    </row>
    <row r="2" spans="1:7" ht="15">
      <c r="A2" s="29" t="s">
        <v>12</v>
      </c>
      <c r="B2" s="29"/>
      <c r="C2" s="29"/>
      <c r="D2" s="29"/>
      <c r="E2" s="29"/>
      <c r="F2" s="29"/>
      <c r="G2" s="29"/>
    </row>
    <row r="3" spans="1:7" s="1" customFormat="1" ht="15">
      <c r="A3" s="29" t="s">
        <v>13</v>
      </c>
      <c r="B3" s="29"/>
      <c r="C3" s="29"/>
      <c r="D3" s="29"/>
      <c r="E3" s="29"/>
      <c r="F3" s="29"/>
      <c r="G3" s="29"/>
    </row>
    <row r="4" spans="1:7" s="1" customFormat="1" ht="15">
      <c r="A4" s="30" t="s">
        <v>14</v>
      </c>
      <c r="B4" s="30"/>
      <c r="C4" s="30"/>
      <c r="D4" s="30"/>
      <c r="E4" s="30"/>
      <c r="F4" s="30"/>
      <c r="G4" s="30"/>
    </row>
    <row r="5" spans="1:7" s="1" customFormat="1" ht="14.25">
      <c r="A5" s="23"/>
      <c r="B5" s="22"/>
      <c r="C5" s="31" t="s">
        <v>15</v>
      </c>
      <c r="D5" s="31"/>
      <c r="E5" s="22"/>
      <c r="F5" s="22"/>
      <c r="G5" s="22"/>
    </row>
    <row r="6" spans="1:7" s="6" customFormat="1" ht="8.25" customHeight="1">
      <c r="A6" s="2"/>
      <c r="B6" s="3"/>
      <c r="C6" s="3"/>
      <c r="D6" s="3"/>
      <c r="E6" s="4"/>
      <c r="F6" s="5"/>
      <c r="G6" s="4"/>
    </row>
    <row r="7" spans="1:7" s="1" customFormat="1" ht="12" customHeight="1">
      <c r="A7" s="32" t="s">
        <v>28</v>
      </c>
      <c r="B7" s="33"/>
      <c r="C7" s="33"/>
      <c r="D7" s="33"/>
      <c r="E7" s="33"/>
      <c r="F7" s="33"/>
      <c r="G7" s="34"/>
    </row>
    <row r="8" spans="1:7" s="11" customFormat="1" ht="12.75">
      <c r="A8" s="2"/>
      <c r="B8" s="3"/>
      <c r="C8" s="3"/>
      <c r="D8" s="3"/>
      <c r="E8" s="4"/>
      <c r="F8" s="5"/>
      <c r="G8" s="4"/>
    </row>
    <row r="9" spans="1:7" s="11" customFormat="1" ht="12">
      <c r="A9" s="8"/>
      <c r="B9" s="9" t="s">
        <v>0</v>
      </c>
      <c r="C9" s="9" t="s">
        <v>11</v>
      </c>
      <c r="D9" s="9" t="s">
        <v>0</v>
      </c>
      <c r="E9" s="9"/>
      <c r="F9" s="10" t="s">
        <v>1</v>
      </c>
      <c r="G9" s="9" t="s">
        <v>2</v>
      </c>
    </row>
    <row r="10" spans="1:7" ht="12.75">
      <c r="A10" s="12" t="s">
        <v>9</v>
      </c>
      <c r="B10" s="7" t="s">
        <v>3</v>
      </c>
      <c r="C10" s="7" t="s">
        <v>18</v>
      </c>
      <c r="D10" s="7" t="s">
        <v>4</v>
      </c>
      <c r="E10" s="7" t="s">
        <v>5</v>
      </c>
      <c r="F10" s="13" t="s">
        <v>6</v>
      </c>
      <c r="G10" s="7" t="s">
        <v>7</v>
      </c>
    </row>
    <row r="12" spans="1:7" ht="12.75">
      <c r="A12" s="20">
        <v>44653</v>
      </c>
      <c r="B12" s="14">
        <v>174829993.31</v>
      </c>
      <c r="C12" s="14">
        <v>626176.07</v>
      </c>
      <c r="D12" s="14">
        <f aca="true" t="shared" si="0" ref="D12:D63">IF(ISBLANK(B12),"",B12-C12-E12)</f>
        <v>161375540.25</v>
      </c>
      <c r="E12" s="14">
        <v>12828276.989999998</v>
      </c>
      <c r="F12" s="15">
        <v>5379</v>
      </c>
      <c r="G12" s="14">
        <f aca="true" t="shared" si="1" ref="G12:G35">IF(ISBLANK(B12),"",E12/F12/7)</f>
        <v>340.6973412477093</v>
      </c>
    </row>
    <row r="13" spans="1:7" ht="12.75">
      <c r="A13" s="20">
        <f aca="true" t="shared" si="2" ref="A13:A63">+A12+7</f>
        <v>44660</v>
      </c>
      <c r="B13" s="14">
        <v>166287366.4</v>
      </c>
      <c r="C13" s="14">
        <v>666523.33</v>
      </c>
      <c r="D13" s="14">
        <f>IF(ISBLANK(B13),"",B13-C13-E13)</f>
        <v>153076332.57999998</v>
      </c>
      <c r="E13" s="14">
        <v>12544510.489999998</v>
      </c>
      <c r="F13" s="15">
        <v>5368</v>
      </c>
      <c r="G13" s="14">
        <f t="shared" si="1"/>
        <v>333.8436898552267</v>
      </c>
    </row>
    <row r="14" spans="1:7" ht="12.75">
      <c r="A14" s="20">
        <f t="shared" si="2"/>
        <v>44667</v>
      </c>
      <c r="B14" s="14">
        <v>160006790.38000003</v>
      </c>
      <c r="C14" s="14">
        <v>651477.56</v>
      </c>
      <c r="D14" s="14">
        <f t="shared" si="0"/>
        <v>147674312.01000002</v>
      </c>
      <c r="E14" s="14">
        <v>11681000.810000002</v>
      </c>
      <c r="F14" s="15">
        <v>5368</v>
      </c>
      <c r="G14" s="14">
        <f t="shared" si="1"/>
        <v>310.8633385671706</v>
      </c>
    </row>
    <row r="15" spans="1:7" ht="12.75">
      <c r="A15" s="20">
        <f t="shared" si="2"/>
        <v>44674</v>
      </c>
      <c r="B15" s="14">
        <v>162604401.94</v>
      </c>
      <c r="C15" s="14">
        <v>651422.5499999999</v>
      </c>
      <c r="D15" s="14">
        <f>IF(ISBLANK(B15),"",B15-C15-E15)</f>
        <v>149722319.54</v>
      </c>
      <c r="E15" s="14">
        <v>12230659.849999998</v>
      </c>
      <c r="F15" s="15">
        <v>5175</v>
      </c>
      <c r="G15" s="14">
        <f t="shared" si="1"/>
        <v>337.6303616287094</v>
      </c>
    </row>
    <row r="16" spans="1:7" ht="12.75">
      <c r="A16" s="20">
        <f t="shared" si="2"/>
        <v>44681</v>
      </c>
      <c r="B16" s="14">
        <v>163303405.9</v>
      </c>
      <c r="C16" s="14">
        <v>674095.51</v>
      </c>
      <c r="D16" s="14">
        <f>IF(ISBLANK(B16),"",B16-C16-E16)</f>
        <v>150311637.89000002</v>
      </c>
      <c r="E16" s="14">
        <v>12317672.500000006</v>
      </c>
      <c r="F16" s="15">
        <v>5192</v>
      </c>
      <c r="G16" s="14">
        <f t="shared" si="1"/>
        <v>338.91901001540845</v>
      </c>
    </row>
    <row r="17" spans="1:7" ht="12.75">
      <c r="A17" s="20">
        <f t="shared" si="2"/>
        <v>44688</v>
      </c>
      <c r="B17" s="14">
        <v>164999100.13000003</v>
      </c>
      <c r="C17" s="14">
        <v>775515.6</v>
      </c>
      <c r="D17" s="14">
        <f aca="true" t="shared" si="3" ref="D17:D35">IF(ISBLANK(B17),"",B17-C17-E17)</f>
        <v>151594602.01000002</v>
      </c>
      <c r="E17" s="14">
        <v>12628982.52</v>
      </c>
      <c r="F17" s="15">
        <v>5192</v>
      </c>
      <c r="G17" s="14">
        <f t="shared" si="1"/>
        <v>347.48466101694913</v>
      </c>
    </row>
    <row r="18" spans="1:7" ht="12.75">
      <c r="A18" s="20">
        <f t="shared" si="2"/>
        <v>44695</v>
      </c>
      <c r="B18" s="14">
        <v>168778340.16</v>
      </c>
      <c r="C18" s="14">
        <v>781347.89</v>
      </c>
      <c r="D18" s="14">
        <f t="shared" si="3"/>
        <v>155262445.47</v>
      </c>
      <c r="E18" s="14">
        <v>12734546.800000003</v>
      </c>
      <c r="F18" s="15">
        <v>5192</v>
      </c>
      <c r="G18" s="14">
        <f t="shared" si="1"/>
        <v>350.38924719348455</v>
      </c>
    </row>
    <row r="19" spans="1:7" ht="12.75">
      <c r="A19" s="20">
        <f t="shared" si="2"/>
        <v>44702</v>
      </c>
      <c r="B19" s="14">
        <v>156329799.44</v>
      </c>
      <c r="C19" s="14">
        <v>770491.46</v>
      </c>
      <c r="D19" s="14">
        <f t="shared" si="3"/>
        <v>143703440.26</v>
      </c>
      <c r="E19" s="14">
        <v>11855867.72</v>
      </c>
      <c r="F19" s="15">
        <v>5196</v>
      </c>
      <c r="G19" s="14">
        <f t="shared" si="1"/>
        <v>325.96139118002856</v>
      </c>
    </row>
    <row r="20" spans="1:7" ht="12.75">
      <c r="A20" s="20">
        <f t="shared" si="2"/>
        <v>44709</v>
      </c>
      <c r="B20" s="14">
        <v>153778562.8</v>
      </c>
      <c r="C20" s="14">
        <v>715485.3900000001</v>
      </c>
      <c r="D20" s="14">
        <f t="shared" si="3"/>
        <v>141499827.53000003</v>
      </c>
      <c r="E20" s="14">
        <v>11563249.879999999</v>
      </c>
      <c r="F20" s="15">
        <v>5247</v>
      </c>
      <c r="G20" s="14">
        <f t="shared" si="1"/>
        <v>314.8261558986087</v>
      </c>
    </row>
    <row r="21" spans="1:7" ht="12.75">
      <c r="A21" s="20">
        <f t="shared" si="2"/>
        <v>44716</v>
      </c>
      <c r="B21" s="14">
        <v>175479819.96</v>
      </c>
      <c r="C21" s="14">
        <v>773408.94</v>
      </c>
      <c r="D21" s="14">
        <f t="shared" si="3"/>
        <v>161317329.89000002</v>
      </c>
      <c r="E21" s="14">
        <v>13389081.129999999</v>
      </c>
      <c r="F21" s="15">
        <v>5305</v>
      </c>
      <c r="G21" s="14">
        <f t="shared" si="1"/>
        <v>360.55153170863065</v>
      </c>
    </row>
    <row r="22" spans="1:7" ht="12.75">
      <c r="A22" s="20">
        <f t="shared" si="2"/>
        <v>44723</v>
      </c>
      <c r="B22" s="14">
        <v>163431809.42</v>
      </c>
      <c r="C22" s="14">
        <v>686287.6100000001</v>
      </c>
      <c r="D22" s="14">
        <f t="shared" si="3"/>
        <v>150851561.07999998</v>
      </c>
      <c r="E22" s="14">
        <v>11893960.729999993</v>
      </c>
      <c r="F22" s="15">
        <v>5267</v>
      </c>
      <c r="G22" s="14">
        <f t="shared" si="1"/>
        <v>322.6005785348122</v>
      </c>
    </row>
    <row r="23" spans="1:7" ht="12.75">
      <c r="A23" s="20">
        <f t="shared" si="2"/>
        <v>44730</v>
      </c>
      <c r="B23" s="14">
        <v>162162806.97</v>
      </c>
      <c r="C23" s="14">
        <v>654189.66</v>
      </c>
      <c r="D23" s="14">
        <f t="shared" si="3"/>
        <v>149570386.45</v>
      </c>
      <c r="E23" s="14">
        <v>11938230.860000003</v>
      </c>
      <c r="F23" s="15">
        <v>5265</v>
      </c>
      <c r="G23" s="14">
        <f t="shared" si="1"/>
        <v>323.924321258988</v>
      </c>
    </row>
    <row r="24" spans="1:7" ht="12.75">
      <c r="A24" s="20">
        <f t="shared" si="2"/>
        <v>44737</v>
      </c>
      <c r="B24" s="14">
        <v>170195092.01</v>
      </c>
      <c r="C24" s="14">
        <v>692734.99</v>
      </c>
      <c r="D24" s="14">
        <f t="shared" si="3"/>
        <v>156844909.02999997</v>
      </c>
      <c r="E24" s="14">
        <v>12657447.99</v>
      </c>
      <c r="F24" s="15">
        <v>5264</v>
      </c>
      <c r="G24" s="14">
        <f t="shared" si="1"/>
        <v>343.50434189101173</v>
      </c>
    </row>
    <row r="25" spans="1:7" ht="12.75">
      <c r="A25" s="20">
        <f t="shared" si="2"/>
        <v>44744</v>
      </c>
      <c r="B25" s="14">
        <v>172817588.87000003</v>
      </c>
      <c r="C25" s="14">
        <v>684782.95</v>
      </c>
      <c r="D25" s="14">
        <f t="shared" si="3"/>
        <v>159556816.28000003</v>
      </c>
      <c r="E25" s="14">
        <v>12575989.64</v>
      </c>
      <c r="F25" s="15">
        <v>5268</v>
      </c>
      <c r="G25" s="14">
        <f t="shared" si="1"/>
        <v>341.03453845319456</v>
      </c>
    </row>
    <row r="26" spans="1:7" ht="12.75">
      <c r="A26" s="20">
        <f t="shared" si="2"/>
        <v>44751</v>
      </c>
      <c r="B26" s="14">
        <v>187044794.04999998</v>
      </c>
      <c r="C26" s="14">
        <v>852258.34</v>
      </c>
      <c r="D26" s="14">
        <f t="shared" si="3"/>
        <v>172875206.44999996</v>
      </c>
      <c r="E26" s="14">
        <v>13317329.26000001</v>
      </c>
      <c r="F26" s="15">
        <v>5303</v>
      </c>
      <c r="G26" s="14">
        <f t="shared" si="1"/>
        <v>358.75459335686025</v>
      </c>
    </row>
    <row r="27" spans="1:7" ht="12.75">
      <c r="A27" s="20">
        <f t="shared" si="2"/>
        <v>44758</v>
      </c>
      <c r="B27" s="14">
        <v>169071326.61</v>
      </c>
      <c r="C27" s="14">
        <v>823827.63</v>
      </c>
      <c r="D27" s="14">
        <f t="shared" si="3"/>
        <v>156437166.43</v>
      </c>
      <c r="E27" s="14">
        <v>11810332.550000003</v>
      </c>
      <c r="F27" s="15">
        <v>5301</v>
      </c>
      <c r="G27" s="14">
        <f t="shared" si="1"/>
        <v>318.27775217613936</v>
      </c>
    </row>
    <row r="28" spans="1:7" ht="12.75">
      <c r="A28" s="20">
        <f t="shared" si="2"/>
        <v>44765</v>
      </c>
      <c r="B28" s="14">
        <v>172676466.41</v>
      </c>
      <c r="C28" s="14">
        <v>818263.25</v>
      </c>
      <c r="D28" s="14">
        <f t="shared" si="3"/>
        <v>159809410.7</v>
      </c>
      <c r="E28" s="14">
        <v>12048792.459999999</v>
      </c>
      <c r="F28" s="15">
        <v>5303</v>
      </c>
      <c r="G28" s="14">
        <f t="shared" si="1"/>
        <v>324.5815700008081</v>
      </c>
    </row>
    <row r="29" spans="1:7" ht="12.75">
      <c r="A29" s="20">
        <f t="shared" si="2"/>
        <v>44772</v>
      </c>
      <c r="B29" s="14">
        <v>176952156.51999998</v>
      </c>
      <c r="C29" s="14">
        <v>820251.0700000001</v>
      </c>
      <c r="D29" s="14">
        <f t="shared" si="3"/>
        <v>163718282.51</v>
      </c>
      <c r="E29" s="14">
        <v>12413622.939999994</v>
      </c>
      <c r="F29" s="15">
        <v>5322</v>
      </c>
      <c r="G29" s="14">
        <f t="shared" si="1"/>
        <v>333.2158409835184</v>
      </c>
    </row>
    <row r="30" spans="1:7" ht="12.75">
      <c r="A30" s="20">
        <f t="shared" si="2"/>
        <v>44779</v>
      </c>
      <c r="B30" s="14">
        <v>184207287.79999998</v>
      </c>
      <c r="C30" s="14">
        <v>677169.2000000001</v>
      </c>
      <c r="D30" s="14">
        <f t="shared" si="3"/>
        <v>170607530.68</v>
      </c>
      <c r="E30" s="14">
        <v>12922587.919999998</v>
      </c>
      <c r="F30" s="15">
        <v>5322</v>
      </c>
      <c r="G30" s="14">
        <f t="shared" si="1"/>
        <v>346.87786331669076</v>
      </c>
    </row>
    <row r="31" spans="1:7" ht="12.75">
      <c r="A31" s="20">
        <f t="shared" si="2"/>
        <v>44786</v>
      </c>
      <c r="B31" s="14">
        <v>171643505.42000002</v>
      </c>
      <c r="C31" s="14">
        <v>540123.03</v>
      </c>
      <c r="D31" s="14">
        <f t="shared" si="3"/>
        <v>158748519.46</v>
      </c>
      <c r="E31" s="14">
        <v>12354862.930000007</v>
      </c>
      <c r="F31" s="15">
        <v>5174</v>
      </c>
      <c r="G31" s="14">
        <f t="shared" si="1"/>
        <v>341.12493594345375</v>
      </c>
    </row>
    <row r="32" spans="1:7" ht="12.75">
      <c r="A32" s="20">
        <f t="shared" si="2"/>
        <v>44793</v>
      </c>
      <c r="B32" s="14">
        <v>172293529.53</v>
      </c>
      <c r="C32" s="14">
        <v>529108.59</v>
      </c>
      <c r="D32" s="14">
        <f t="shared" si="3"/>
        <v>159075615</v>
      </c>
      <c r="E32" s="14">
        <v>12688805.94</v>
      </c>
      <c r="F32" s="15">
        <v>5145</v>
      </c>
      <c r="G32" s="14">
        <f t="shared" si="1"/>
        <v>352.3200316534777</v>
      </c>
    </row>
    <row r="33" spans="1:7" ht="12.75">
      <c r="A33" s="20">
        <f t="shared" si="2"/>
        <v>44800</v>
      </c>
      <c r="B33" s="14">
        <v>172066789.98000002</v>
      </c>
      <c r="C33" s="14">
        <v>509287.20999999996</v>
      </c>
      <c r="D33" s="14">
        <f t="shared" si="3"/>
        <v>159361322.03</v>
      </c>
      <c r="E33" s="14">
        <v>12196180.739999998</v>
      </c>
      <c r="F33" s="15">
        <v>5136</v>
      </c>
      <c r="G33" s="14">
        <f t="shared" si="1"/>
        <v>339.2351118157543</v>
      </c>
    </row>
    <row r="34" spans="1:7" ht="12.75">
      <c r="A34" s="20">
        <f t="shared" si="2"/>
        <v>44807</v>
      </c>
      <c r="B34" s="14">
        <v>176581178.91</v>
      </c>
      <c r="C34" s="14">
        <v>537585.01</v>
      </c>
      <c r="D34" s="14">
        <f t="shared" si="3"/>
        <v>163214387.56</v>
      </c>
      <c r="E34" s="14">
        <v>12829206.340000002</v>
      </c>
      <c r="F34" s="15">
        <v>5151</v>
      </c>
      <c r="G34" s="14">
        <f t="shared" si="1"/>
        <v>355.80348725628875</v>
      </c>
    </row>
    <row r="35" spans="1:7" ht="12.75">
      <c r="A35" s="20">
        <f t="shared" si="2"/>
        <v>44814</v>
      </c>
      <c r="B35" s="14">
        <v>175388973.15</v>
      </c>
      <c r="C35" s="14">
        <v>573496.98</v>
      </c>
      <c r="D35" s="14">
        <f t="shared" si="3"/>
        <v>161941605.32000002</v>
      </c>
      <c r="E35" s="14">
        <v>12873870.850000001</v>
      </c>
      <c r="F35" s="15">
        <v>4992</v>
      </c>
      <c r="G35" s="14">
        <f t="shared" si="1"/>
        <v>368.4143443795788</v>
      </c>
    </row>
    <row r="36" spans="1:7" ht="12.75">
      <c r="A36" s="20">
        <f t="shared" si="2"/>
        <v>44821</v>
      </c>
      <c r="B36" s="14">
        <v>154329017.20000002</v>
      </c>
      <c r="C36" s="14">
        <v>520570.76999999996</v>
      </c>
      <c r="D36" s="14">
        <f t="shared" si="0"/>
        <v>141870678.70000002</v>
      </c>
      <c r="E36" s="14">
        <v>11937767.729999999</v>
      </c>
      <c r="F36" s="15">
        <v>4915</v>
      </c>
      <c r="G36" s="14">
        <f>IF(ISBLANK(B36),"",E36/F36/7)</f>
        <v>346.97769888097656</v>
      </c>
    </row>
    <row r="37" spans="1:7" ht="12.75">
      <c r="A37" s="20">
        <f t="shared" si="2"/>
        <v>44828</v>
      </c>
      <c r="B37" s="14">
        <v>150701302.6</v>
      </c>
      <c r="C37" s="14">
        <v>506920.2</v>
      </c>
      <c r="D37" s="14">
        <f t="shared" si="0"/>
        <v>139323049.53</v>
      </c>
      <c r="E37" s="14">
        <v>10871332.870000001</v>
      </c>
      <c r="F37" s="15">
        <v>4924</v>
      </c>
      <c r="G37" s="14">
        <f aca="true" t="shared" si="4" ref="G37:G63">IF(ISBLANK(B37),"",E37/F37/7)</f>
        <v>315.403645990484</v>
      </c>
    </row>
    <row r="38" spans="1:7" ht="12.75">
      <c r="A38" s="20">
        <f t="shared" si="2"/>
        <v>44835</v>
      </c>
      <c r="B38" s="25">
        <v>165416567.93</v>
      </c>
      <c r="C38" s="25">
        <v>553683.97</v>
      </c>
      <c r="D38" s="25">
        <f t="shared" si="0"/>
        <v>152390816.74</v>
      </c>
      <c r="E38" s="25">
        <v>12472067.219999993</v>
      </c>
      <c r="F38" s="26">
        <v>4916.857142857143</v>
      </c>
      <c r="G38" s="25">
        <f t="shared" si="4"/>
        <v>362.3704811435874</v>
      </c>
    </row>
    <row r="39" spans="1:7" ht="12.75">
      <c r="A39" s="20">
        <f t="shared" si="2"/>
        <v>44842</v>
      </c>
      <c r="B39" s="27">
        <v>160119030.57</v>
      </c>
      <c r="C39" s="27">
        <v>511320.62999999995</v>
      </c>
      <c r="D39" s="25">
        <f t="shared" si="0"/>
        <v>147880274.06</v>
      </c>
      <c r="E39" s="25">
        <v>11727435.879999995</v>
      </c>
      <c r="F39" s="26">
        <v>4920</v>
      </c>
      <c r="G39" s="25">
        <f t="shared" si="4"/>
        <v>340.51788269454113</v>
      </c>
    </row>
    <row r="40" spans="1:7" ht="12.75">
      <c r="A40" s="20">
        <f t="shared" si="2"/>
        <v>44849</v>
      </c>
      <c r="B40" s="25">
        <v>162670304.91000003</v>
      </c>
      <c r="C40" s="25">
        <v>504840.71</v>
      </c>
      <c r="D40" s="25">
        <f t="shared" si="0"/>
        <v>150170802.01000002</v>
      </c>
      <c r="E40" s="25">
        <v>11994662.190000003</v>
      </c>
      <c r="F40" s="26">
        <v>4920</v>
      </c>
      <c r="G40" s="25">
        <f t="shared" si="4"/>
        <v>348.2770670731708</v>
      </c>
    </row>
    <row r="41" spans="1:7" ht="12.75">
      <c r="A41" s="20">
        <f t="shared" si="2"/>
        <v>44856</v>
      </c>
      <c r="B41" s="25">
        <v>156739274.36</v>
      </c>
      <c r="C41" s="25">
        <v>490297.61</v>
      </c>
      <c r="D41" s="25">
        <f t="shared" si="0"/>
        <v>144698492.87</v>
      </c>
      <c r="E41" s="25">
        <v>11550483.88</v>
      </c>
      <c r="F41" s="26">
        <v>4954</v>
      </c>
      <c r="G41" s="25">
        <f t="shared" si="4"/>
        <v>333.0781440682854</v>
      </c>
    </row>
    <row r="42" spans="1:7" ht="12.75">
      <c r="A42" s="20">
        <f t="shared" si="2"/>
        <v>44863</v>
      </c>
      <c r="B42" s="25">
        <v>170928853.42999998</v>
      </c>
      <c r="C42" s="25">
        <v>481452.14</v>
      </c>
      <c r="D42" s="25">
        <f t="shared" si="0"/>
        <v>158250044.54</v>
      </c>
      <c r="E42" s="25">
        <v>12197356.75</v>
      </c>
      <c r="F42" s="26">
        <v>5120</v>
      </c>
      <c r="G42" s="25">
        <f t="shared" si="4"/>
        <v>340.32803431919643</v>
      </c>
    </row>
    <row r="43" spans="1:7" ht="12.75">
      <c r="A43" s="20">
        <f t="shared" si="2"/>
        <v>44870</v>
      </c>
      <c r="B43" s="25">
        <v>180778281.56</v>
      </c>
      <c r="C43" s="25">
        <v>557694.7999999999</v>
      </c>
      <c r="D43" s="25">
        <f t="shared" si="0"/>
        <v>167181780.64999998</v>
      </c>
      <c r="E43" s="25">
        <v>13038806.110000007</v>
      </c>
      <c r="F43" s="26">
        <v>5153</v>
      </c>
      <c r="G43" s="25">
        <f t="shared" si="4"/>
        <v>361.47614732056246</v>
      </c>
    </row>
    <row r="44" spans="1:7" ht="12.75">
      <c r="A44" s="20">
        <f t="shared" si="2"/>
        <v>44877</v>
      </c>
      <c r="B44" s="25">
        <v>173146316.07999998</v>
      </c>
      <c r="C44" s="25">
        <v>457598.13</v>
      </c>
      <c r="D44" s="25">
        <f t="shared" si="0"/>
        <v>160204597.73</v>
      </c>
      <c r="E44" s="25">
        <v>12484120.219999991</v>
      </c>
      <c r="F44" s="26">
        <v>5162</v>
      </c>
      <c r="G44" s="25">
        <f t="shared" si="4"/>
        <v>345.49510765484007</v>
      </c>
    </row>
    <row r="45" spans="1:7" ht="12.75">
      <c r="A45" s="20">
        <f t="shared" si="2"/>
        <v>44884</v>
      </c>
      <c r="B45" s="25">
        <v>159443221.8</v>
      </c>
      <c r="C45" s="25">
        <v>439139.22</v>
      </c>
      <c r="D45" s="25">
        <f t="shared" si="0"/>
        <v>147535908.81</v>
      </c>
      <c r="E45" s="25">
        <v>11468173.769999996</v>
      </c>
      <c r="F45" s="26">
        <v>5154</v>
      </c>
      <c r="G45" s="25">
        <f t="shared" si="4"/>
        <v>317.8716605687676</v>
      </c>
    </row>
    <row r="46" spans="1:7" ht="12.75">
      <c r="A46" s="20">
        <f t="shared" si="2"/>
        <v>44891</v>
      </c>
      <c r="B46" s="25">
        <v>174105930.5</v>
      </c>
      <c r="C46" s="25">
        <v>446086.60000000003</v>
      </c>
      <c r="D46" s="25">
        <f t="shared" si="0"/>
        <v>161228025.5</v>
      </c>
      <c r="E46" s="25">
        <v>12431818.4</v>
      </c>
      <c r="F46" s="26">
        <v>5150</v>
      </c>
      <c r="G46" s="25">
        <f t="shared" si="4"/>
        <v>344.8493314840499</v>
      </c>
    </row>
    <row r="47" spans="1:7" ht="12.75">
      <c r="A47" s="20">
        <f t="shared" si="2"/>
        <v>44898</v>
      </c>
      <c r="B47" s="25">
        <v>162915017.04000002</v>
      </c>
      <c r="C47" s="25">
        <v>446347.5</v>
      </c>
      <c r="D47" s="25">
        <f t="shared" si="0"/>
        <v>150595106.93</v>
      </c>
      <c r="E47" s="25">
        <v>11873562.610000001</v>
      </c>
      <c r="F47" s="26">
        <v>5162</v>
      </c>
      <c r="G47" s="25">
        <f t="shared" si="4"/>
        <v>328.5980685780705</v>
      </c>
    </row>
    <row r="48" spans="1:7" ht="12.75">
      <c r="A48" s="20">
        <f t="shared" si="2"/>
        <v>44905</v>
      </c>
      <c r="B48" s="25">
        <v>160742605.74</v>
      </c>
      <c r="C48" s="25">
        <v>472184.2</v>
      </c>
      <c r="D48" s="25">
        <f t="shared" si="0"/>
        <v>149089215.28000003</v>
      </c>
      <c r="E48" s="25">
        <v>11181206.260000002</v>
      </c>
      <c r="F48" s="26">
        <v>5162</v>
      </c>
      <c r="G48" s="25">
        <f t="shared" si="4"/>
        <v>309.4372685005812</v>
      </c>
    </row>
    <row r="49" spans="1:7" ht="12.75">
      <c r="A49" s="20">
        <f t="shared" si="2"/>
        <v>44912</v>
      </c>
      <c r="B49" s="25">
        <v>160752837.21</v>
      </c>
      <c r="C49" s="25">
        <v>475471.52</v>
      </c>
      <c r="D49" s="25">
        <f t="shared" si="0"/>
        <v>149434278.66</v>
      </c>
      <c r="E49" s="25">
        <v>10843087.03</v>
      </c>
      <c r="F49" s="26">
        <v>5162</v>
      </c>
      <c r="G49" s="25">
        <f t="shared" si="4"/>
        <v>300.0798978801129</v>
      </c>
    </row>
    <row r="50" spans="1:7" ht="12.75">
      <c r="A50" s="20">
        <f t="shared" si="2"/>
        <v>44919</v>
      </c>
      <c r="B50" s="25">
        <v>153148071.73000002</v>
      </c>
      <c r="C50" s="25">
        <v>443832.71</v>
      </c>
      <c r="D50" s="25">
        <f t="shared" si="0"/>
        <v>142178205</v>
      </c>
      <c r="E50" s="25">
        <v>10526034.020000001</v>
      </c>
      <c r="F50" s="26">
        <v>5162</v>
      </c>
      <c r="G50" s="25">
        <f t="shared" si="4"/>
        <v>291.30552997177176</v>
      </c>
    </row>
    <row r="51" spans="1:7" ht="12.75">
      <c r="A51" s="20">
        <f t="shared" si="2"/>
        <v>44926</v>
      </c>
      <c r="B51" s="25">
        <v>202681563.89999998</v>
      </c>
      <c r="C51" s="25">
        <v>551596.8200000001</v>
      </c>
      <c r="D51" s="25">
        <f t="shared" si="0"/>
        <v>187035684.19</v>
      </c>
      <c r="E51" s="25">
        <v>15094282.89</v>
      </c>
      <c r="F51" s="26">
        <v>5162</v>
      </c>
      <c r="G51" s="25">
        <f t="shared" si="4"/>
        <v>417.7307491559196</v>
      </c>
    </row>
    <row r="52" spans="1:7" ht="12.75">
      <c r="A52" s="20">
        <f t="shared" si="2"/>
        <v>44933</v>
      </c>
      <c r="B52" s="25">
        <v>202357118.13</v>
      </c>
      <c r="C52" s="25">
        <v>578661.48</v>
      </c>
      <c r="D52" s="25">
        <f t="shared" si="0"/>
        <v>186897810.09</v>
      </c>
      <c r="E52" s="25">
        <v>14880646.560000002</v>
      </c>
      <c r="F52" s="26">
        <v>5162</v>
      </c>
      <c r="G52" s="25">
        <f t="shared" si="4"/>
        <v>411.8184136824044</v>
      </c>
    </row>
    <row r="53" spans="1:7" ht="12.75">
      <c r="A53" s="20">
        <f t="shared" si="2"/>
        <v>44940</v>
      </c>
      <c r="B53" s="25">
        <v>161164448.73</v>
      </c>
      <c r="C53" s="25">
        <v>500461.5</v>
      </c>
      <c r="D53" s="25">
        <f t="shared" si="0"/>
        <v>147972705.7</v>
      </c>
      <c r="E53" s="25">
        <v>12691281.530000001</v>
      </c>
      <c r="F53" s="26">
        <v>5135</v>
      </c>
      <c r="G53" s="25">
        <f t="shared" si="4"/>
        <v>353.0750182222841</v>
      </c>
    </row>
    <row r="54" spans="1:7" ht="12.75">
      <c r="A54" s="20">
        <f t="shared" si="2"/>
        <v>44947</v>
      </c>
      <c r="B54" s="25">
        <v>170119710.44</v>
      </c>
      <c r="C54" s="25">
        <v>546080.4700000001</v>
      </c>
      <c r="D54" s="25">
        <f t="shared" si="0"/>
        <v>156557648.39000002</v>
      </c>
      <c r="E54" s="25">
        <v>13015981.579999996</v>
      </c>
      <c r="F54" s="26">
        <v>5162</v>
      </c>
      <c r="G54" s="25">
        <f t="shared" si="4"/>
        <v>360.21424641611765</v>
      </c>
    </row>
    <row r="55" spans="1:7" ht="12.75">
      <c r="A55" s="20">
        <f t="shared" si="2"/>
        <v>44954</v>
      </c>
      <c r="B55" s="25">
        <v>167180087.48000002</v>
      </c>
      <c r="C55" s="25">
        <v>592335.35</v>
      </c>
      <c r="D55" s="25">
        <f t="shared" si="0"/>
        <v>154240465.93000004</v>
      </c>
      <c r="E55" s="25">
        <v>12347286.200000001</v>
      </c>
      <c r="F55" s="26">
        <v>5153</v>
      </c>
      <c r="G55" s="25">
        <f t="shared" si="4"/>
        <v>342.30507055529375</v>
      </c>
    </row>
    <row r="56" spans="1:7" ht="12.75">
      <c r="A56" s="20">
        <f t="shared" si="2"/>
        <v>44961</v>
      </c>
      <c r="B56" s="25">
        <v>162379862.71</v>
      </c>
      <c r="C56" s="25">
        <v>580087.54</v>
      </c>
      <c r="D56" s="25">
        <f t="shared" si="0"/>
        <v>149236250.75000003</v>
      </c>
      <c r="E56" s="25">
        <v>12563524.42</v>
      </c>
      <c r="F56" s="26">
        <v>5081</v>
      </c>
      <c r="G56" s="25">
        <f t="shared" si="4"/>
        <v>353.235426659544</v>
      </c>
    </row>
    <row r="57" spans="1:7" ht="12.75">
      <c r="A57" s="20">
        <f t="shared" si="2"/>
        <v>44968</v>
      </c>
      <c r="B57" s="25">
        <v>172200646.76000002</v>
      </c>
      <c r="C57" s="25">
        <v>522851.80000000005</v>
      </c>
      <c r="D57" s="25">
        <f t="shared" si="0"/>
        <v>158324170.77</v>
      </c>
      <c r="E57" s="25">
        <v>13353624.190000001</v>
      </c>
      <c r="F57" s="26">
        <v>5068</v>
      </c>
      <c r="G57" s="25">
        <f t="shared" si="4"/>
        <v>376.4129042169355</v>
      </c>
    </row>
    <row r="58" spans="1:7" ht="12.75">
      <c r="A58" s="20">
        <f t="shared" si="2"/>
        <v>44975</v>
      </c>
      <c r="B58" s="25">
        <v>172832233.07</v>
      </c>
      <c r="C58" s="25">
        <v>502749.05000000005</v>
      </c>
      <c r="D58" s="25">
        <f t="shared" si="0"/>
        <v>158879821.35</v>
      </c>
      <c r="E58" s="25">
        <v>13449662.669999996</v>
      </c>
      <c r="F58" s="26">
        <v>5086</v>
      </c>
      <c r="G58" s="25">
        <f t="shared" si="4"/>
        <v>377.7782897028256</v>
      </c>
    </row>
    <row r="59" spans="1:7" ht="12.75">
      <c r="A59" s="20">
        <f t="shared" si="2"/>
        <v>44982</v>
      </c>
      <c r="B59" s="25">
        <v>183335246.5</v>
      </c>
      <c r="C59" s="25">
        <v>528889.22</v>
      </c>
      <c r="D59" s="25">
        <f t="shared" si="0"/>
        <v>168539336.76</v>
      </c>
      <c r="E59" s="25">
        <v>14267020.519999996</v>
      </c>
      <c r="F59" s="26">
        <v>5138</v>
      </c>
      <c r="G59" s="25">
        <f t="shared" si="4"/>
        <v>396.6807685035866</v>
      </c>
    </row>
    <row r="60" spans="1:7" ht="12.75">
      <c r="A60" s="20">
        <f t="shared" si="2"/>
        <v>44989</v>
      </c>
      <c r="B60" s="25">
        <v>178577024.23</v>
      </c>
      <c r="C60" s="25">
        <v>508250.19999999995</v>
      </c>
      <c r="D60" s="25">
        <f t="shared" si="0"/>
        <v>164423375.13</v>
      </c>
      <c r="E60" s="25">
        <v>13645398.899999999</v>
      </c>
      <c r="F60" s="26">
        <v>5135</v>
      </c>
      <c r="G60" s="25">
        <f t="shared" si="4"/>
        <v>379.6188315481986</v>
      </c>
    </row>
    <row r="61" spans="1:7" ht="12.75">
      <c r="A61" s="20">
        <f t="shared" si="2"/>
        <v>44996</v>
      </c>
      <c r="B61" s="25">
        <v>176124437.76</v>
      </c>
      <c r="C61" s="25">
        <v>495892.39</v>
      </c>
      <c r="D61" s="25">
        <f t="shared" si="0"/>
        <v>162232382.97</v>
      </c>
      <c r="E61" s="25">
        <v>13396162.4</v>
      </c>
      <c r="F61" s="26">
        <v>5135</v>
      </c>
      <c r="G61" s="25">
        <f t="shared" si="4"/>
        <v>372.68500208652114</v>
      </c>
    </row>
    <row r="62" spans="1:7" ht="12.75">
      <c r="A62" s="20">
        <f t="shared" si="2"/>
        <v>45003</v>
      </c>
      <c r="B62" s="25">
        <v>177416550.19</v>
      </c>
      <c r="C62" s="25">
        <v>470058.5</v>
      </c>
      <c r="D62" s="25">
        <f t="shared" si="0"/>
        <v>163828089.26999998</v>
      </c>
      <c r="E62" s="25">
        <v>13118402.420000004</v>
      </c>
      <c r="F62" s="26">
        <v>5142</v>
      </c>
      <c r="G62" s="25">
        <f t="shared" si="4"/>
        <v>364.46081069067077</v>
      </c>
    </row>
    <row r="63" spans="1:7" ht="12.75">
      <c r="A63" s="20">
        <f t="shared" si="2"/>
        <v>45010</v>
      </c>
      <c r="B63" s="25">
        <v>170605741.76000002</v>
      </c>
      <c r="C63" s="25">
        <v>485542.79000000004</v>
      </c>
      <c r="D63" s="25">
        <f t="shared" si="0"/>
        <v>157043210.09000003</v>
      </c>
      <c r="E63" s="25">
        <v>13076988.879999997</v>
      </c>
      <c r="F63" s="26">
        <v>5101</v>
      </c>
      <c r="G63" s="25">
        <f t="shared" si="4"/>
        <v>366.2303996415268</v>
      </c>
    </row>
    <row r="64" ht="12.75">
      <c r="A64" s="20"/>
    </row>
    <row r="65" spans="1:7" s="19" customFormat="1" ht="13.5" thickBot="1">
      <c r="A65" s="2" t="s">
        <v>8</v>
      </c>
      <c r="B65" s="16">
        <f>IF(SUM(B12:B64)=0,"",SUM(B12:B64))</f>
        <v>8815842190.39</v>
      </c>
      <c r="C65" s="16">
        <f>IF(SUM(C12:C64)=0,"",SUM(C12:C64))</f>
        <v>30656207.639999997</v>
      </c>
      <c r="D65" s="16">
        <f>IF(SUM(D12:D64)=0,"",SUM(D12:D64))</f>
        <v>8135392734.810001</v>
      </c>
      <c r="E65" s="16">
        <f>IF(SUM(E12:E64)=0,"",SUM(E12:E64))</f>
        <v>649793247.9399997</v>
      </c>
      <c r="F65" s="21">
        <f>_xlfn.IFERROR(SUM(F12:F64)/COUNT(F12:F64)," ")</f>
        <v>5161.997252747253</v>
      </c>
      <c r="G65" s="16">
        <f>_xlfn.IFERROR(E65/SUM(F12:F64)/7," ")</f>
        <v>345.8247260010418</v>
      </c>
    </row>
    <row r="66" spans="1:7" ht="13.5" thickTop="1">
      <c r="A66" s="17"/>
      <c r="B66" s="18"/>
      <c r="C66" s="18"/>
      <c r="D66" s="18"/>
      <c r="E66" s="18"/>
      <c r="F66" s="19"/>
      <c r="G66" s="19"/>
    </row>
  </sheetData>
  <sheetProtection/>
  <mergeCells count="6">
    <mergeCell ref="A1:G1"/>
    <mergeCell ref="A2:G2"/>
    <mergeCell ref="A3:G3"/>
    <mergeCell ref="A4:G4"/>
    <mergeCell ref="C5:D5"/>
    <mergeCell ref="A7:G7"/>
  </mergeCells>
  <hyperlinks>
    <hyperlink ref="A4" r:id="rId1" display="www.rwnewyork.com"/>
  </hyperlinks>
  <printOptions horizontalCentered="1"/>
  <pageMargins left="0" right="0" top="0.5" bottom="0.25" header="0.5" footer="0.5"/>
  <pageSetup fitToHeight="1" fitToWidth="1" horizontalDpi="600" verticalDpi="600" orientation="portrait" scale="88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zoomScalePageLayoutView="0" workbookViewId="0" topLeftCell="A1">
      <pane ySplit="10" topLeftCell="A48" activePane="bottomLeft" state="frozen"/>
      <selection pane="topLeft" activeCell="A1" sqref="A1"/>
      <selection pane="bottomLeft" activeCell="B67" sqref="B67"/>
    </sheetView>
  </sheetViews>
  <sheetFormatPr defaultColWidth="9.140625" defaultRowHeight="12.75"/>
  <cols>
    <col min="1" max="1" width="15.7109375" style="2" customWidth="1"/>
    <col min="2" max="3" width="16.28125" style="14" customWidth="1"/>
    <col min="4" max="4" width="15.7109375" style="14" customWidth="1"/>
    <col min="5" max="5" width="15.00390625" style="14" customWidth="1"/>
    <col min="6" max="6" width="10.140625" style="15" customWidth="1"/>
    <col min="7" max="7" width="11.57421875" style="14" customWidth="1"/>
  </cols>
  <sheetData>
    <row r="1" spans="1:7" ht="26.25" customHeight="1">
      <c r="A1" s="28" t="s">
        <v>16</v>
      </c>
      <c r="B1" s="28"/>
      <c r="C1" s="28"/>
      <c r="D1" s="28"/>
      <c r="E1" s="28"/>
      <c r="F1" s="28"/>
      <c r="G1" s="28"/>
    </row>
    <row r="2" spans="1:7" ht="15">
      <c r="A2" s="29" t="s">
        <v>12</v>
      </c>
      <c r="B2" s="29"/>
      <c r="C2" s="29"/>
      <c r="D2" s="29"/>
      <c r="E2" s="29"/>
      <c r="F2" s="29"/>
      <c r="G2" s="29"/>
    </row>
    <row r="3" spans="1:7" s="1" customFormat="1" ht="15">
      <c r="A3" s="29" t="s">
        <v>13</v>
      </c>
      <c r="B3" s="29"/>
      <c r="C3" s="29"/>
      <c r="D3" s="29"/>
      <c r="E3" s="29"/>
      <c r="F3" s="29"/>
      <c r="G3" s="29"/>
    </row>
    <row r="4" spans="1:7" s="1" customFormat="1" ht="15">
      <c r="A4" s="30" t="s">
        <v>14</v>
      </c>
      <c r="B4" s="30"/>
      <c r="C4" s="30"/>
      <c r="D4" s="30"/>
      <c r="E4" s="30"/>
      <c r="F4" s="30"/>
      <c r="G4" s="30"/>
    </row>
    <row r="5" spans="1:7" s="1" customFormat="1" ht="14.25">
      <c r="A5" s="23"/>
      <c r="B5" s="22"/>
      <c r="C5" s="31" t="s">
        <v>15</v>
      </c>
      <c r="D5" s="31"/>
      <c r="E5" s="22"/>
      <c r="F5" s="22"/>
      <c r="G5" s="22"/>
    </row>
    <row r="6" spans="1:7" s="6" customFormat="1" ht="8.25" customHeight="1">
      <c r="A6" s="2"/>
      <c r="B6" s="3"/>
      <c r="C6" s="3"/>
      <c r="D6" s="3"/>
      <c r="E6" s="4"/>
      <c r="F6" s="5"/>
      <c r="G6" s="4"/>
    </row>
    <row r="7" spans="1:7" s="1" customFormat="1" ht="12" customHeight="1">
      <c r="A7" s="32" t="s">
        <v>27</v>
      </c>
      <c r="B7" s="33"/>
      <c r="C7" s="33"/>
      <c r="D7" s="33"/>
      <c r="E7" s="33"/>
      <c r="F7" s="33"/>
      <c r="G7" s="34"/>
    </row>
    <row r="8" spans="1:7" s="11" customFormat="1" ht="12.75">
      <c r="A8" s="2"/>
      <c r="B8" s="3"/>
      <c r="C8" s="3"/>
      <c r="D8" s="3"/>
      <c r="E8" s="4"/>
      <c r="F8" s="5"/>
      <c r="G8" s="4"/>
    </row>
    <row r="9" spans="1:7" s="11" customFormat="1" ht="12">
      <c r="A9" s="8"/>
      <c r="B9" s="9" t="s">
        <v>0</v>
      </c>
      <c r="C9" s="9" t="s">
        <v>11</v>
      </c>
      <c r="D9" s="9" t="s">
        <v>0</v>
      </c>
      <c r="E9" s="9"/>
      <c r="F9" s="10" t="s">
        <v>1</v>
      </c>
      <c r="G9" s="9" t="s">
        <v>2</v>
      </c>
    </row>
    <row r="10" spans="1:7" ht="12.75">
      <c r="A10" s="12" t="s">
        <v>9</v>
      </c>
      <c r="B10" s="7" t="s">
        <v>3</v>
      </c>
      <c r="C10" s="7" t="s">
        <v>18</v>
      </c>
      <c r="D10" s="7" t="s">
        <v>4</v>
      </c>
      <c r="E10" s="7" t="s">
        <v>5</v>
      </c>
      <c r="F10" s="13" t="s">
        <v>6</v>
      </c>
      <c r="G10" s="7" t="s">
        <v>7</v>
      </c>
    </row>
    <row r="12" spans="1:7" ht="12.75">
      <c r="A12" s="20">
        <v>44289</v>
      </c>
      <c r="B12" s="14">
        <v>162541869.89</v>
      </c>
      <c r="C12" s="14">
        <v>551619.0499999999</v>
      </c>
      <c r="D12" s="14">
        <f aca="true" t="shared" si="0" ref="D12:D63">IF(ISBLANK(B12),"",B12-C12-E12)</f>
        <v>149751189.36999997</v>
      </c>
      <c r="E12" s="14">
        <v>12239061.469999995</v>
      </c>
      <c r="F12" s="15">
        <v>3831</v>
      </c>
      <c r="G12" s="14">
        <f aca="true" t="shared" si="1" ref="G12:G35">IF(ISBLANK(B12),"",E12/F12/7)</f>
        <v>456.39189581235763</v>
      </c>
    </row>
    <row r="13" spans="1:7" ht="12.75">
      <c r="A13" s="20">
        <f aca="true" t="shared" si="2" ref="A13:A63">+A12+7</f>
        <v>44296</v>
      </c>
      <c r="B13" s="14">
        <v>195375446.92</v>
      </c>
      <c r="C13" s="14">
        <v>632813.86</v>
      </c>
      <c r="D13" s="14">
        <f>IF(ISBLANK(B13),"",B13-C13-E13)</f>
        <v>180162174.84999996</v>
      </c>
      <c r="E13" s="14">
        <v>14580458.21</v>
      </c>
      <c r="F13" s="15">
        <v>3855</v>
      </c>
      <c r="G13" s="14">
        <f t="shared" si="1"/>
        <v>540.3171469334816</v>
      </c>
    </row>
    <row r="14" spans="1:7" ht="12.75">
      <c r="A14" s="20">
        <f t="shared" si="2"/>
        <v>44303</v>
      </c>
      <c r="B14" s="14">
        <v>184790541.5</v>
      </c>
      <c r="C14" s="14">
        <v>589835.63</v>
      </c>
      <c r="D14" s="14">
        <f t="shared" si="0"/>
        <v>170638790.67000002</v>
      </c>
      <c r="E14" s="14">
        <v>13561915.199999997</v>
      </c>
      <c r="F14" s="15">
        <v>3874</v>
      </c>
      <c r="G14" s="14">
        <f t="shared" si="1"/>
        <v>500.10750055313804</v>
      </c>
    </row>
    <row r="15" spans="1:7" ht="12.75">
      <c r="A15" s="20">
        <f t="shared" si="2"/>
        <v>44310</v>
      </c>
      <c r="B15" s="14">
        <v>180394441.37999997</v>
      </c>
      <c r="C15" s="14">
        <v>584099.55</v>
      </c>
      <c r="D15" s="14">
        <f>IF(ISBLANK(B15),"",B15-C15-E15)</f>
        <v>166854114.55999994</v>
      </c>
      <c r="E15" s="14">
        <v>12956227.27</v>
      </c>
      <c r="F15" s="15">
        <v>3914</v>
      </c>
      <c r="G15" s="14">
        <f t="shared" si="1"/>
        <v>472.8895273377619</v>
      </c>
    </row>
    <row r="16" spans="1:7" ht="12.75">
      <c r="A16" s="20">
        <f t="shared" si="2"/>
        <v>44317</v>
      </c>
      <c r="B16" s="14">
        <v>180850595.07</v>
      </c>
      <c r="C16" s="14">
        <v>608414.22</v>
      </c>
      <c r="D16" s="14">
        <f>IF(ISBLANK(B16),"",B16-C16-E16)</f>
        <v>167127011.39</v>
      </c>
      <c r="E16" s="14">
        <v>13115169.46</v>
      </c>
      <c r="F16" s="15">
        <v>3920</v>
      </c>
      <c r="G16" s="14">
        <f t="shared" si="1"/>
        <v>477.9580706997085</v>
      </c>
    </row>
    <row r="17" spans="1:7" ht="12.75">
      <c r="A17" s="20">
        <f t="shared" si="2"/>
        <v>44324</v>
      </c>
      <c r="B17" s="14">
        <v>170771512.53</v>
      </c>
      <c r="C17" s="14">
        <v>611405.55</v>
      </c>
      <c r="D17" s="14">
        <f aca="true" t="shared" si="3" ref="D17:D35">IF(ISBLANK(B17),"",B17-C17-E17)</f>
        <v>157574251.616</v>
      </c>
      <c r="E17" s="14">
        <v>12585855.364</v>
      </c>
      <c r="F17" s="15">
        <v>3920.57</v>
      </c>
      <c r="G17" s="14">
        <f t="shared" si="1"/>
        <v>458.6015139926811</v>
      </c>
    </row>
    <row r="18" spans="1:7" ht="12.75">
      <c r="A18" s="20">
        <f t="shared" si="2"/>
        <v>44331</v>
      </c>
      <c r="B18" s="14">
        <v>174162768.03</v>
      </c>
      <c r="C18" s="14">
        <v>588716.78</v>
      </c>
      <c r="D18" s="14">
        <f t="shared" si="3"/>
        <v>160973662.24</v>
      </c>
      <c r="E18" s="14">
        <v>12600389.01</v>
      </c>
      <c r="F18" s="15">
        <v>3924.85</v>
      </c>
      <c r="G18" s="14">
        <f t="shared" si="1"/>
        <v>458.6304120812624</v>
      </c>
    </row>
    <row r="19" spans="1:7" ht="12.75">
      <c r="A19" s="20">
        <f t="shared" si="2"/>
        <v>44338</v>
      </c>
      <c r="B19" s="14">
        <v>164095187.64</v>
      </c>
      <c r="C19" s="14">
        <v>558111.57</v>
      </c>
      <c r="D19" s="14">
        <f t="shared" si="3"/>
        <v>151345663.29</v>
      </c>
      <c r="E19" s="14">
        <v>12191412.78</v>
      </c>
      <c r="F19" s="15">
        <v>3930</v>
      </c>
      <c r="G19" s="14">
        <f t="shared" si="1"/>
        <v>443.16295092693565</v>
      </c>
    </row>
    <row r="20" spans="1:7" ht="12.75">
      <c r="A20" s="20">
        <f t="shared" si="2"/>
        <v>44345</v>
      </c>
      <c r="B20" s="14">
        <v>164072340.42</v>
      </c>
      <c r="C20" s="14">
        <v>539523.36</v>
      </c>
      <c r="D20" s="14">
        <f t="shared" si="3"/>
        <v>151183792.07999998</v>
      </c>
      <c r="E20" s="14">
        <v>12349024.98</v>
      </c>
      <c r="F20" s="15">
        <v>3930</v>
      </c>
      <c r="G20" s="14">
        <f t="shared" si="1"/>
        <v>448.8922202835333</v>
      </c>
    </row>
    <row r="21" spans="1:7" ht="12.75">
      <c r="A21" s="20">
        <f t="shared" si="2"/>
        <v>44352</v>
      </c>
      <c r="B21" s="14">
        <v>181692244.44</v>
      </c>
      <c r="C21" s="14">
        <v>661417.45</v>
      </c>
      <c r="D21" s="14">
        <f t="shared" si="3"/>
        <v>167261872.38</v>
      </c>
      <c r="E21" s="14">
        <v>13768954.61</v>
      </c>
      <c r="F21" s="15">
        <v>3921</v>
      </c>
      <c r="G21" s="14">
        <f t="shared" si="1"/>
        <v>501.6560866397056</v>
      </c>
    </row>
    <row r="22" spans="1:7" ht="12.75">
      <c r="A22" s="20">
        <f t="shared" si="2"/>
        <v>44359</v>
      </c>
      <c r="B22" s="14">
        <v>158465018.62</v>
      </c>
      <c r="C22" s="14">
        <v>616005</v>
      </c>
      <c r="D22" s="14">
        <f t="shared" si="3"/>
        <v>145982472.45</v>
      </c>
      <c r="E22" s="14">
        <v>11866541.170000002</v>
      </c>
      <c r="F22" s="15">
        <v>3920</v>
      </c>
      <c r="G22" s="14">
        <f t="shared" si="1"/>
        <v>432.45412427113706</v>
      </c>
    </row>
    <row r="23" spans="1:7" ht="12.75">
      <c r="A23" s="20">
        <f t="shared" si="2"/>
        <v>44366</v>
      </c>
      <c r="B23" s="14">
        <v>158507477.4</v>
      </c>
      <c r="C23" s="14">
        <v>618832.3</v>
      </c>
      <c r="D23" s="14">
        <f t="shared" si="3"/>
        <v>146316903.83</v>
      </c>
      <c r="E23" s="14">
        <v>11571741.269999992</v>
      </c>
      <c r="F23" s="15">
        <v>4613</v>
      </c>
      <c r="G23" s="14">
        <f t="shared" si="1"/>
        <v>358.3580957542346</v>
      </c>
    </row>
    <row r="24" spans="1:7" ht="12.75">
      <c r="A24" s="20">
        <f t="shared" si="2"/>
        <v>44373</v>
      </c>
      <c r="B24" s="14">
        <v>156998322.13</v>
      </c>
      <c r="C24" s="14">
        <v>603200.73</v>
      </c>
      <c r="D24" s="14">
        <f t="shared" si="3"/>
        <v>144735363.4</v>
      </c>
      <c r="E24" s="14">
        <v>11659757.999999996</v>
      </c>
      <c r="F24" s="15">
        <v>5103</v>
      </c>
      <c r="G24" s="14">
        <f t="shared" si="1"/>
        <v>326.41185857058866</v>
      </c>
    </row>
    <row r="25" spans="1:7" ht="12.75">
      <c r="A25" s="20">
        <f t="shared" si="2"/>
        <v>44380</v>
      </c>
      <c r="B25" s="14">
        <v>164491173.43</v>
      </c>
      <c r="C25" s="14">
        <v>622138.65</v>
      </c>
      <c r="D25" s="14">
        <f t="shared" si="3"/>
        <v>151419686.28</v>
      </c>
      <c r="E25" s="14">
        <v>12449348.499999993</v>
      </c>
      <c r="F25" s="15">
        <v>5086</v>
      </c>
      <c r="G25" s="14">
        <f t="shared" si="1"/>
        <v>349.6811555530586</v>
      </c>
    </row>
    <row r="26" spans="1:7" ht="12.75">
      <c r="A26" s="20">
        <f t="shared" si="2"/>
        <v>44387</v>
      </c>
      <c r="B26" s="14">
        <v>170516256.31</v>
      </c>
      <c r="C26" s="14">
        <v>686972.69</v>
      </c>
      <c r="D26" s="14">
        <f t="shared" si="3"/>
        <v>156830768.35</v>
      </c>
      <c r="E26" s="14">
        <v>12998515.270000009</v>
      </c>
      <c r="F26" s="15">
        <v>5086</v>
      </c>
      <c r="G26" s="14">
        <f t="shared" si="1"/>
        <v>365.10632183585216</v>
      </c>
    </row>
    <row r="27" spans="1:7" ht="12.75">
      <c r="A27" s="20">
        <f t="shared" si="2"/>
        <v>44394</v>
      </c>
      <c r="B27" s="14">
        <v>161555360.77</v>
      </c>
      <c r="C27" s="14">
        <v>649217.5</v>
      </c>
      <c r="D27" s="14">
        <f t="shared" si="3"/>
        <v>148836191.03</v>
      </c>
      <c r="E27" s="14">
        <v>12069952.240000006</v>
      </c>
      <c r="F27" s="15">
        <v>5086</v>
      </c>
      <c r="G27" s="14">
        <f t="shared" si="1"/>
        <v>339.02455592382466</v>
      </c>
    </row>
    <row r="28" spans="1:7" ht="12.75">
      <c r="A28" s="20">
        <f t="shared" si="2"/>
        <v>44401</v>
      </c>
      <c r="B28" s="14">
        <v>163038785.82999998</v>
      </c>
      <c r="C28" s="14">
        <v>663498.7899999999</v>
      </c>
      <c r="D28" s="14">
        <f t="shared" si="3"/>
        <v>149892299.97</v>
      </c>
      <c r="E28" s="14">
        <v>12482987.069999997</v>
      </c>
      <c r="F28" s="15">
        <v>5086</v>
      </c>
      <c r="G28" s="14">
        <f t="shared" si="1"/>
        <v>350.62600612325144</v>
      </c>
    </row>
    <row r="29" spans="1:7" ht="12.75">
      <c r="A29" s="20">
        <f t="shared" si="2"/>
        <v>44408</v>
      </c>
      <c r="B29" s="14">
        <v>163805705.65000004</v>
      </c>
      <c r="C29" s="14">
        <v>676103.06</v>
      </c>
      <c r="D29" s="14">
        <f t="shared" si="3"/>
        <v>150875572.67000002</v>
      </c>
      <c r="E29" s="14">
        <v>12254029.92000001</v>
      </c>
      <c r="F29" s="15">
        <v>5188</v>
      </c>
      <c r="G29" s="14">
        <f t="shared" si="1"/>
        <v>337.4278532878073</v>
      </c>
    </row>
    <row r="30" spans="1:7" ht="12.75">
      <c r="A30" s="20">
        <f t="shared" si="2"/>
        <v>44415</v>
      </c>
      <c r="B30" s="14">
        <v>174696909.91</v>
      </c>
      <c r="C30" s="14">
        <v>714517.25</v>
      </c>
      <c r="D30" s="14">
        <f t="shared" si="3"/>
        <v>161303059.85</v>
      </c>
      <c r="E30" s="14">
        <v>12679332.809999993</v>
      </c>
      <c r="F30" s="15">
        <v>5443</v>
      </c>
      <c r="G30" s="14">
        <f t="shared" si="1"/>
        <v>332.78215296186437</v>
      </c>
    </row>
    <row r="31" spans="1:7" ht="12.75">
      <c r="A31" s="20">
        <f t="shared" si="2"/>
        <v>44422</v>
      </c>
      <c r="B31" s="14">
        <v>174355169.47</v>
      </c>
      <c r="C31" s="14">
        <v>694329.6799999999</v>
      </c>
      <c r="D31" s="14">
        <f t="shared" si="3"/>
        <v>160668263.3</v>
      </c>
      <c r="E31" s="14">
        <v>12992576.489999995</v>
      </c>
      <c r="F31" s="15">
        <v>5443</v>
      </c>
      <c r="G31" s="14">
        <f t="shared" si="1"/>
        <v>341.0035560746436</v>
      </c>
    </row>
    <row r="32" spans="1:7" ht="12.75">
      <c r="A32" s="20">
        <f t="shared" si="2"/>
        <v>44429</v>
      </c>
      <c r="B32" s="14">
        <v>170069039.04</v>
      </c>
      <c r="C32" s="14">
        <v>691147.58</v>
      </c>
      <c r="D32" s="14">
        <f t="shared" si="3"/>
        <v>156956031.00999996</v>
      </c>
      <c r="E32" s="14">
        <v>12421860.450000009</v>
      </c>
      <c r="F32" s="15">
        <v>5443</v>
      </c>
      <c r="G32" s="14">
        <f t="shared" si="1"/>
        <v>326.0245256030028</v>
      </c>
    </row>
    <row r="33" spans="1:7" ht="12.75">
      <c r="A33" s="20">
        <f t="shared" si="2"/>
        <v>44436</v>
      </c>
      <c r="B33" s="14">
        <v>164588272.04000002</v>
      </c>
      <c r="C33" s="14">
        <v>624206.79</v>
      </c>
      <c r="D33" s="14">
        <f t="shared" si="3"/>
        <v>151654257.14000005</v>
      </c>
      <c r="E33" s="14">
        <v>12309808.10999999</v>
      </c>
      <c r="F33" s="15">
        <v>5444</v>
      </c>
      <c r="G33" s="14">
        <f t="shared" si="1"/>
        <v>323.02424976382883</v>
      </c>
    </row>
    <row r="34" spans="1:7" ht="12.75">
      <c r="A34" s="20">
        <f t="shared" si="2"/>
        <v>44443</v>
      </c>
      <c r="B34" s="14">
        <v>168687826.60000002</v>
      </c>
      <c r="C34" s="14">
        <v>664620.25</v>
      </c>
      <c r="D34" s="14">
        <f t="shared" si="3"/>
        <v>155894972.67000002</v>
      </c>
      <c r="E34" s="14">
        <v>12128233.680000007</v>
      </c>
      <c r="F34" s="15">
        <v>5447</v>
      </c>
      <c r="G34" s="14">
        <f t="shared" si="1"/>
        <v>318.084231949435</v>
      </c>
    </row>
    <row r="35" spans="1:7" ht="12.75">
      <c r="A35" s="20">
        <f t="shared" si="2"/>
        <v>44450</v>
      </c>
      <c r="B35" s="14">
        <v>180760821.2</v>
      </c>
      <c r="C35" s="14">
        <v>720994.5</v>
      </c>
      <c r="D35" s="14">
        <f t="shared" si="3"/>
        <v>167006885.26999998</v>
      </c>
      <c r="E35" s="14">
        <v>13032941.429999996</v>
      </c>
      <c r="F35" s="15">
        <v>5447</v>
      </c>
      <c r="G35" s="14">
        <f t="shared" si="1"/>
        <v>341.81178184583905</v>
      </c>
    </row>
    <row r="36" spans="1:7" ht="12.75">
      <c r="A36" s="20">
        <f t="shared" si="2"/>
        <v>44457</v>
      </c>
      <c r="B36" s="14">
        <v>173519288.61</v>
      </c>
      <c r="C36" s="14">
        <v>700828.23</v>
      </c>
      <c r="D36" s="14">
        <f t="shared" si="0"/>
        <v>160287040.84000003</v>
      </c>
      <c r="E36" s="14">
        <v>12531419.54</v>
      </c>
      <c r="F36" s="15">
        <v>5447</v>
      </c>
      <c r="G36" s="14">
        <f>IF(ISBLANK(B36),"",E36/F36/7)</f>
        <v>328.6584893388235</v>
      </c>
    </row>
    <row r="37" spans="1:7" ht="12.75">
      <c r="A37" s="20">
        <f t="shared" si="2"/>
        <v>44464</v>
      </c>
      <c r="B37" s="14">
        <v>161878922.91</v>
      </c>
      <c r="C37" s="14">
        <v>666906.76</v>
      </c>
      <c r="D37" s="14">
        <f t="shared" si="0"/>
        <v>149417727.08</v>
      </c>
      <c r="E37" s="14">
        <v>11794289.069999995</v>
      </c>
      <c r="F37" s="15">
        <v>5447</v>
      </c>
      <c r="G37" s="14">
        <f aca="true" t="shared" si="4" ref="G37:G63">IF(ISBLANK(B37),"",E37/F37/7)</f>
        <v>309.32594796611494</v>
      </c>
    </row>
    <row r="38" spans="1:7" ht="12.75">
      <c r="A38" s="20">
        <f t="shared" si="2"/>
        <v>44471</v>
      </c>
      <c r="B38" s="25">
        <v>171952346.24</v>
      </c>
      <c r="C38" s="25">
        <v>722981.51</v>
      </c>
      <c r="D38" s="25">
        <f t="shared" si="0"/>
        <v>158822236.31000003</v>
      </c>
      <c r="E38" s="25">
        <v>12407128.42</v>
      </c>
      <c r="F38" s="26">
        <v>5447</v>
      </c>
      <c r="G38" s="25">
        <f t="shared" si="4"/>
        <v>325.39873639487</v>
      </c>
    </row>
    <row r="39" spans="1:7" ht="12.75">
      <c r="A39" s="20">
        <f t="shared" si="2"/>
        <v>44478</v>
      </c>
      <c r="B39" s="27">
        <v>171591996.91</v>
      </c>
      <c r="C39" s="27">
        <v>716181.1799999999</v>
      </c>
      <c r="D39" s="25">
        <f t="shared" si="0"/>
        <v>158864928.67</v>
      </c>
      <c r="E39" s="25">
        <v>12010887.059999995</v>
      </c>
      <c r="F39" s="26">
        <v>5447</v>
      </c>
      <c r="G39" s="25">
        <f t="shared" si="4"/>
        <v>315.00661071625257</v>
      </c>
    </row>
    <row r="40" spans="1:7" ht="12.75">
      <c r="A40" s="20">
        <f t="shared" si="2"/>
        <v>44485</v>
      </c>
      <c r="B40" s="25">
        <v>175876885.1</v>
      </c>
      <c r="C40" s="25">
        <v>761485.58</v>
      </c>
      <c r="D40" s="25">
        <f t="shared" si="0"/>
        <v>162673352.07999998</v>
      </c>
      <c r="E40" s="25">
        <v>12442047.44</v>
      </c>
      <c r="F40" s="26">
        <v>5447</v>
      </c>
      <c r="G40" s="25">
        <f t="shared" si="4"/>
        <v>326.3145490309213</v>
      </c>
    </row>
    <row r="41" spans="1:7" ht="12.75">
      <c r="A41" s="20">
        <f t="shared" si="2"/>
        <v>44492</v>
      </c>
      <c r="B41" s="25">
        <v>159908158.11</v>
      </c>
      <c r="C41" s="25">
        <v>704166.87</v>
      </c>
      <c r="D41" s="25">
        <f t="shared" si="0"/>
        <v>147803861.13</v>
      </c>
      <c r="E41" s="25">
        <v>11400130.11</v>
      </c>
      <c r="F41" s="26">
        <v>5447</v>
      </c>
      <c r="G41" s="25">
        <f t="shared" si="4"/>
        <v>298.98843688531036</v>
      </c>
    </row>
    <row r="42" spans="1:7" ht="12.75">
      <c r="A42" s="20">
        <f t="shared" si="2"/>
        <v>44499</v>
      </c>
      <c r="B42" s="25">
        <v>168384514.65</v>
      </c>
      <c r="C42" s="25">
        <v>698565.3399999999</v>
      </c>
      <c r="D42" s="25">
        <f t="shared" si="0"/>
        <v>155583324.27</v>
      </c>
      <c r="E42" s="25">
        <v>12102625.040000003</v>
      </c>
      <c r="F42" s="26">
        <v>5447</v>
      </c>
      <c r="G42" s="25">
        <f t="shared" si="4"/>
        <v>317.4126003829107</v>
      </c>
    </row>
    <row r="43" spans="1:7" ht="12.75">
      <c r="A43" s="20">
        <f t="shared" si="2"/>
        <v>44506</v>
      </c>
      <c r="B43" s="25">
        <v>171636099.41</v>
      </c>
      <c r="C43" s="25">
        <v>739850.99</v>
      </c>
      <c r="D43" s="25">
        <f t="shared" si="0"/>
        <v>158853667.79999998</v>
      </c>
      <c r="E43" s="25">
        <v>12042580.62</v>
      </c>
      <c r="F43" s="26">
        <v>5447</v>
      </c>
      <c r="G43" s="25">
        <f t="shared" si="4"/>
        <v>315.8378299981641</v>
      </c>
    </row>
    <row r="44" spans="1:7" ht="12.75">
      <c r="A44" s="20">
        <f t="shared" si="2"/>
        <v>44513</v>
      </c>
      <c r="B44" s="25">
        <v>168429829.32</v>
      </c>
      <c r="C44" s="25">
        <v>638579.4</v>
      </c>
      <c r="D44" s="25">
        <f t="shared" si="0"/>
        <v>155737113.54</v>
      </c>
      <c r="E44" s="25">
        <v>12054136.380000008</v>
      </c>
      <c r="F44" s="26">
        <v>5447</v>
      </c>
      <c r="G44" s="25">
        <f t="shared" si="4"/>
        <v>316.14090010228455</v>
      </c>
    </row>
    <row r="45" spans="1:7" ht="12.75">
      <c r="A45" s="20">
        <f t="shared" si="2"/>
        <v>44520</v>
      </c>
      <c r="B45" s="25">
        <v>154381368.03</v>
      </c>
      <c r="C45" s="25">
        <v>581023.69</v>
      </c>
      <c r="D45" s="25">
        <f t="shared" si="0"/>
        <v>142978342.07999998</v>
      </c>
      <c r="E45" s="25">
        <v>10822002.260000007</v>
      </c>
      <c r="F45" s="26">
        <v>5447</v>
      </c>
      <c r="G45" s="25">
        <f t="shared" si="4"/>
        <v>283.8260185160903</v>
      </c>
    </row>
    <row r="46" spans="1:7" ht="12.75">
      <c r="A46" s="20">
        <f t="shared" si="2"/>
        <v>44527</v>
      </c>
      <c r="B46" s="25">
        <v>162894635.26</v>
      </c>
      <c r="C46" s="25">
        <v>588568.28</v>
      </c>
      <c r="D46" s="25">
        <f t="shared" si="0"/>
        <v>150715730.20999998</v>
      </c>
      <c r="E46" s="25">
        <v>11590336.77</v>
      </c>
      <c r="F46" s="26">
        <v>5447</v>
      </c>
      <c r="G46" s="25">
        <f t="shared" si="4"/>
        <v>303.97694064884996</v>
      </c>
    </row>
    <row r="47" spans="1:7" ht="12.75">
      <c r="A47" s="20">
        <f t="shared" si="2"/>
        <v>44534</v>
      </c>
      <c r="B47" s="25">
        <v>153380812.69</v>
      </c>
      <c r="C47" s="25">
        <v>596993.74</v>
      </c>
      <c r="D47" s="25">
        <f t="shared" si="0"/>
        <v>141576796.39</v>
      </c>
      <c r="E47" s="25">
        <v>11207022.559999995</v>
      </c>
      <c r="F47" s="26">
        <v>5447</v>
      </c>
      <c r="G47" s="25">
        <f t="shared" si="4"/>
        <v>293.92385218600003</v>
      </c>
    </row>
    <row r="48" spans="1:7" ht="12.75">
      <c r="A48" s="20">
        <f t="shared" si="2"/>
        <v>44541</v>
      </c>
      <c r="B48" s="25">
        <v>146185650.1</v>
      </c>
      <c r="C48" s="25">
        <v>535933.8999999999</v>
      </c>
      <c r="D48" s="25">
        <f t="shared" si="0"/>
        <v>135248782.31</v>
      </c>
      <c r="E48" s="25">
        <v>10400933.889999999</v>
      </c>
      <c r="F48" s="26">
        <v>5447</v>
      </c>
      <c r="G48" s="25">
        <f t="shared" si="4"/>
        <v>272.7827608906606</v>
      </c>
    </row>
    <row r="49" spans="1:7" ht="12.75">
      <c r="A49" s="20">
        <f t="shared" si="2"/>
        <v>44548</v>
      </c>
      <c r="B49" s="25">
        <v>147511141.09</v>
      </c>
      <c r="C49" s="25">
        <v>556894.12</v>
      </c>
      <c r="D49" s="25">
        <f t="shared" si="0"/>
        <v>136351508.93</v>
      </c>
      <c r="E49" s="25">
        <v>10602738.039999992</v>
      </c>
      <c r="F49" s="26">
        <v>5447</v>
      </c>
      <c r="G49" s="25">
        <f t="shared" si="4"/>
        <v>278.0754292008705</v>
      </c>
    </row>
    <row r="50" spans="1:7" ht="12.75">
      <c r="A50" s="20">
        <f t="shared" si="2"/>
        <v>44555</v>
      </c>
      <c r="B50" s="25">
        <v>140393422.95999998</v>
      </c>
      <c r="C50" s="25">
        <v>517593.12</v>
      </c>
      <c r="D50" s="25">
        <f t="shared" si="0"/>
        <v>129722574.51999998</v>
      </c>
      <c r="E50" s="25">
        <v>10153255.32</v>
      </c>
      <c r="F50" s="26">
        <v>5447</v>
      </c>
      <c r="G50" s="25">
        <f t="shared" si="4"/>
        <v>266.2869553358336</v>
      </c>
    </row>
    <row r="51" spans="1:7" ht="12.75">
      <c r="A51" s="20">
        <f t="shared" si="2"/>
        <v>44562</v>
      </c>
      <c r="B51" s="25">
        <v>165715928.23999998</v>
      </c>
      <c r="C51" s="25">
        <v>591128.56</v>
      </c>
      <c r="D51" s="25">
        <f t="shared" si="0"/>
        <v>152624332.39</v>
      </c>
      <c r="E51" s="25">
        <v>12500467.290000005</v>
      </c>
      <c r="F51" s="26">
        <v>5447</v>
      </c>
      <c r="G51" s="25">
        <f t="shared" si="4"/>
        <v>327.8467122138007</v>
      </c>
    </row>
    <row r="52" spans="1:7" ht="12.75">
      <c r="A52" s="20">
        <f t="shared" si="2"/>
        <v>44569</v>
      </c>
      <c r="B52" s="25">
        <v>134445223.23000002</v>
      </c>
      <c r="C52" s="25">
        <v>477533.58999999997</v>
      </c>
      <c r="D52" s="25">
        <f t="shared" si="0"/>
        <v>124296807.33000001</v>
      </c>
      <c r="E52" s="25">
        <v>9670882.309999997</v>
      </c>
      <c r="F52" s="26">
        <v>5447</v>
      </c>
      <c r="G52" s="25">
        <f t="shared" si="4"/>
        <v>253.63587584253446</v>
      </c>
    </row>
    <row r="53" spans="1:7" ht="12.75">
      <c r="A53" s="20">
        <f t="shared" si="2"/>
        <v>44576</v>
      </c>
      <c r="B53" s="25">
        <v>138993472.04000002</v>
      </c>
      <c r="C53" s="25">
        <v>513138.55999999994</v>
      </c>
      <c r="D53" s="25">
        <f t="shared" si="0"/>
        <v>128410000.44000001</v>
      </c>
      <c r="E53" s="25">
        <v>10070333.040000001</v>
      </c>
      <c r="F53" s="26">
        <v>5447</v>
      </c>
      <c r="G53" s="25">
        <f t="shared" si="4"/>
        <v>264.11217288677915</v>
      </c>
    </row>
    <row r="54" spans="1:7" ht="12.75">
      <c r="A54" s="20">
        <f t="shared" si="2"/>
        <v>44583</v>
      </c>
      <c r="B54" s="25">
        <v>143848236.06</v>
      </c>
      <c r="C54" s="25">
        <v>513340.13</v>
      </c>
      <c r="D54" s="25">
        <f t="shared" si="0"/>
        <v>132602443.16000001</v>
      </c>
      <c r="E54" s="25">
        <v>10732452.77</v>
      </c>
      <c r="F54" s="26">
        <v>5447</v>
      </c>
      <c r="G54" s="25">
        <f t="shared" si="4"/>
        <v>281.4774258438459</v>
      </c>
    </row>
    <row r="55" spans="1:7" ht="12.75">
      <c r="A55" s="20">
        <f t="shared" si="2"/>
        <v>44590</v>
      </c>
      <c r="B55" s="25">
        <v>113817671.19000001</v>
      </c>
      <c r="C55" s="25">
        <v>463146.52</v>
      </c>
      <c r="D55" s="25">
        <f t="shared" si="0"/>
        <v>105162076.05000001</v>
      </c>
      <c r="E55" s="25">
        <v>8192448.620000002</v>
      </c>
      <c r="F55" s="26">
        <v>5447</v>
      </c>
      <c r="G55" s="25">
        <f t="shared" si="4"/>
        <v>214.8613553987779</v>
      </c>
    </row>
    <row r="56" spans="1:7" ht="12.75">
      <c r="A56" s="20">
        <f t="shared" si="2"/>
        <v>44597</v>
      </c>
      <c r="B56" s="25">
        <v>157876262.18</v>
      </c>
      <c r="C56" s="25">
        <v>572995.86</v>
      </c>
      <c r="D56" s="25">
        <f t="shared" si="0"/>
        <v>145951987.51999998</v>
      </c>
      <c r="E56" s="25">
        <v>11351278.799999997</v>
      </c>
      <c r="F56" s="26">
        <v>5447</v>
      </c>
      <c r="G56" s="25">
        <f t="shared" si="4"/>
        <v>297.7072254714259</v>
      </c>
    </row>
    <row r="57" spans="1:7" ht="12.75">
      <c r="A57" s="20">
        <f t="shared" si="2"/>
        <v>44604</v>
      </c>
      <c r="B57" s="25">
        <v>167607146.06</v>
      </c>
      <c r="C57" s="25">
        <v>631792</v>
      </c>
      <c r="D57" s="25">
        <f t="shared" si="0"/>
        <v>154779972.81</v>
      </c>
      <c r="E57" s="25">
        <v>12195381.250000002</v>
      </c>
      <c r="F57" s="26">
        <v>5447</v>
      </c>
      <c r="G57" s="25">
        <f t="shared" si="4"/>
        <v>319.8452949198773</v>
      </c>
    </row>
    <row r="58" spans="1:7" ht="12.75">
      <c r="A58" s="20">
        <f t="shared" si="2"/>
        <v>44611</v>
      </c>
      <c r="B58" s="25">
        <v>164075690</v>
      </c>
      <c r="C58" s="25">
        <v>583680.26</v>
      </c>
      <c r="D58" s="25">
        <f t="shared" si="0"/>
        <v>151795592.95</v>
      </c>
      <c r="E58" s="25">
        <v>11696416.790000007</v>
      </c>
      <c r="F58" s="26">
        <v>5447</v>
      </c>
      <c r="G58" s="25">
        <f t="shared" si="4"/>
        <v>306.75907550683223</v>
      </c>
    </row>
    <row r="59" spans="1:7" ht="12.75">
      <c r="A59" s="20">
        <f t="shared" si="2"/>
        <v>44618</v>
      </c>
      <c r="B59" s="25">
        <v>181495952.12</v>
      </c>
      <c r="C59" s="25">
        <v>632154.46</v>
      </c>
      <c r="D59" s="25">
        <f t="shared" si="0"/>
        <v>167689631.74</v>
      </c>
      <c r="E59" s="25">
        <v>13174165.92</v>
      </c>
      <c r="F59" s="26">
        <v>5447</v>
      </c>
      <c r="G59" s="25">
        <f t="shared" si="4"/>
        <v>345.51564216213376</v>
      </c>
    </row>
    <row r="60" spans="1:7" ht="12.75">
      <c r="A60" s="20">
        <f t="shared" si="2"/>
        <v>44625</v>
      </c>
      <c r="B60" s="25">
        <v>177690332.95</v>
      </c>
      <c r="C60" s="25">
        <v>657145.29</v>
      </c>
      <c r="D60" s="25">
        <f t="shared" si="0"/>
        <v>164181013.43</v>
      </c>
      <c r="E60" s="25">
        <v>12852174.229999999</v>
      </c>
      <c r="F60" s="26">
        <v>5447</v>
      </c>
      <c r="G60" s="25">
        <f t="shared" si="4"/>
        <v>337.07084450156043</v>
      </c>
    </row>
    <row r="61" spans="1:7" ht="12.75">
      <c r="A61" s="20">
        <f t="shared" si="2"/>
        <v>44632</v>
      </c>
      <c r="B61" s="25">
        <v>171042597.43</v>
      </c>
      <c r="C61" s="25">
        <v>663093.92</v>
      </c>
      <c r="D61" s="25">
        <f t="shared" si="0"/>
        <v>157998503.48000002</v>
      </c>
      <c r="E61" s="25">
        <v>12381000.029999994</v>
      </c>
      <c r="F61" s="26">
        <v>5447</v>
      </c>
      <c r="G61" s="25">
        <f t="shared" si="4"/>
        <v>324.7134734716356</v>
      </c>
    </row>
    <row r="62" spans="1:7" ht="12.75">
      <c r="A62" s="20">
        <f t="shared" si="2"/>
        <v>44639</v>
      </c>
      <c r="B62" s="25">
        <v>182266913.01000002</v>
      </c>
      <c r="C62" s="25">
        <v>660004.1499999999</v>
      </c>
      <c r="D62" s="25">
        <f t="shared" si="0"/>
        <v>168194107.04000002</v>
      </c>
      <c r="E62" s="25">
        <v>13412801.819999998</v>
      </c>
      <c r="F62" s="26">
        <v>5447</v>
      </c>
      <c r="G62" s="25">
        <f t="shared" si="4"/>
        <v>351.7742878124262</v>
      </c>
    </row>
    <row r="63" spans="1:7" ht="12.75">
      <c r="A63" s="20">
        <f t="shared" si="2"/>
        <v>44646</v>
      </c>
      <c r="B63" s="25">
        <v>174743984.98</v>
      </c>
      <c r="C63" s="25">
        <v>606911.6499999999</v>
      </c>
      <c r="D63" s="25">
        <f t="shared" si="0"/>
        <v>161372716.91</v>
      </c>
      <c r="E63" s="25">
        <v>12764356.419999998</v>
      </c>
      <c r="F63" s="26">
        <v>5447</v>
      </c>
      <c r="G63" s="25">
        <f t="shared" si="4"/>
        <v>334.7676681790762</v>
      </c>
    </row>
    <row r="64" ht="12.75">
      <c r="A64" s="20"/>
    </row>
    <row r="65" spans="1:7" s="19" customFormat="1" ht="13.5" thickBot="1">
      <c r="A65" s="2" t="s">
        <v>8</v>
      </c>
      <c r="B65" s="16">
        <f>IF(SUM(B12:B64)=0,"",SUM(B12:B64))</f>
        <v>8590827567.099998</v>
      </c>
      <c r="C65" s="16">
        <f>IF(SUM(C12:C64)=0,"",SUM(C12:C64))</f>
        <v>32464359.44999999</v>
      </c>
      <c r="D65" s="16">
        <f>IF(SUM(D12:D64)=0,"",SUM(D12:D64))</f>
        <v>7930941421.075999</v>
      </c>
      <c r="E65" s="16">
        <f>IF(SUM(E12:E64)=0,"",SUM(E12:E64))</f>
        <v>627421786.5739999</v>
      </c>
      <c r="F65" s="21">
        <f>_xlfn.IFERROR(SUM(F12:F64)/COUNT(F12:F64)," ")</f>
        <v>5064.835</v>
      </c>
      <c r="G65" s="16">
        <f>_xlfn.IFERROR(E65/SUM(F12:F64)/7," ")</f>
        <v>340.3242606820653</v>
      </c>
    </row>
    <row r="66" spans="1:7" ht="13.5" thickTop="1">
      <c r="A66" s="17"/>
      <c r="B66" s="18"/>
      <c r="C66" s="18"/>
      <c r="D66" s="18"/>
      <c r="E66" s="18"/>
      <c r="F66" s="19"/>
      <c r="G66" s="19"/>
    </row>
  </sheetData>
  <sheetProtection/>
  <mergeCells count="6">
    <mergeCell ref="A1:G1"/>
    <mergeCell ref="A2:G2"/>
    <mergeCell ref="A3:G3"/>
    <mergeCell ref="A4:G4"/>
    <mergeCell ref="C5:D5"/>
    <mergeCell ref="A7:G7"/>
  </mergeCells>
  <hyperlinks>
    <hyperlink ref="A4" r:id="rId1" display="www.rwnewyork.com"/>
  </hyperlinks>
  <printOptions horizontalCentered="1"/>
  <pageMargins left="0" right="0" top="0.5" bottom="0.25" header="0.5" footer="0.5"/>
  <pageSetup fitToHeight="1" fitToWidth="1" horizontalDpi="600" verticalDpi="600" orientation="portrait" scale="88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zoomScalePageLayoutView="0" workbookViewId="0" topLeftCell="A1">
      <pane ySplit="10" topLeftCell="A43" activePane="bottomLeft" state="frozen"/>
      <selection pane="topLeft" activeCell="A1" sqref="A1"/>
      <selection pane="bottomLeft" activeCell="B69" sqref="B69"/>
    </sheetView>
  </sheetViews>
  <sheetFormatPr defaultColWidth="9.140625" defaultRowHeight="12.75"/>
  <cols>
    <col min="1" max="1" width="15.7109375" style="2" customWidth="1"/>
    <col min="2" max="3" width="16.28125" style="14" customWidth="1"/>
    <col min="4" max="4" width="15.7109375" style="14" customWidth="1"/>
    <col min="5" max="5" width="15.00390625" style="14" customWidth="1"/>
    <col min="6" max="6" width="10.140625" style="15" customWidth="1"/>
    <col min="7" max="7" width="11.57421875" style="14" customWidth="1"/>
  </cols>
  <sheetData>
    <row r="1" spans="1:7" ht="26.25" customHeight="1">
      <c r="A1" s="28" t="s">
        <v>16</v>
      </c>
      <c r="B1" s="28"/>
      <c r="C1" s="28"/>
      <c r="D1" s="28"/>
      <c r="E1" s="28"/>
      <c r="F1" s="28"/>
      <c r="G1" s="28"/>
    </row>
    <row r="2" spans="1:7" ht="15">
      <c r="A2" s="29" t="s">
        <v>12</v>
      </c>
      <c r="B2" s="29"/>
      <c r="C2" s="29"/>
      <c r="D2" s="29"/>
      <c r="E2" s="29"/>
      <c r="F2" s="29"/>
      <c r="G2" s="29"/>
    </row>
    <row r="3" spans="1:7" s="1" customFormat="1" ht="15">
      <c r="A3" s="29" t="s">
        <v>13</v>
      </c>
      <c r="B3" s="29"/>
      <c r="C3" s="29"/>
      <c r="D3" s="29"/>
      <c r="E3" s="29"/>
      <c r="F3" s="29"/>
      <c r="G3" s="29"/>
    </row>
    <row r="4" spans="1:7" s="1" customFormat="1" ht="15">
      <c r="A4" s="30" t="s">
        <v>14</v>
      </c>
      <c r="B4" s="30"/>
      <c r="C4" s="30"/>
      <c r="D4" s="30"/>
      <c r="E4" s="30"/>
      <c r="F4" s="30"/>
      <c r="G4" s="30"/>
    </row>
    <row r="5" spans="1:7" s="1" customFormat="1" ht="14.25">
      <c r="A5" s="23"/>
      <c r="B5" s="22"/>
      <c r="C5" s="31" t="s">
        <v>15</v>
      </c>
      <c r="D5" s="31"/>
      <c r="E5" s="22"/>
      <c r="F5" s="22"/>
      <c r="G5" s="22"/>
    </row>
    <row r="6" spans="1:7" s="6" customFormat="1" ht="8.25" customHeight="1">
      <c r="A6" s="2"/>
      <c r="B6" s="3"/>
      <c r="C6" s="3"/>
      <c r="D6" s="3"/>
      <c r="E6" s="4"/>
      <c r="F6" s="5"/>
      <c r="G6" s="4"/>
    </row>
    <row r="7" spans="1:7" s="1" customFormat="1" ht="12" customHeight="1">
      <c r="A7" s="32" t="s">
        <v>26</v>
      </c>
      <c r="B7" s="33"/>
      <c r="C7" s="33"/>
      <c r="D7" s="33"/>
      <c r="E7" s="33"/>
      <c r="F7" s="33"/>
      <c r="G7" s="34"/>
    </row>
    <row r="8" spans="1:7" s="11" customFormat="1" ht="12.75">
      <c r="A8" s="2"/>
      <c r="B8" s="3"/>
      <c r="C8" s="3"/>
      <c r="D8" s="3"/>
      <c r="E8" s="4"/>
      <c r="F8" s="5"/>
      <c r="G8" s="4"/>
    </row>
    <row r="9" spans="1:7" s="11" customFormat="1" ht="12">
      <c r="A9" s="8"/>
      <c r="B9" s="9" t="s">
        <v>0</v>
      </c>
      <c r="C9" s="9" t="s">
        <v>11</v>
      </c>
      <c r="D9" s="9" t="s">
        <v>0</v>
      </c>
      <c r="E9" s="9"/>
      <c r="F9" s="10" t="s">
        <v>1</v>
      </c>
      <c r="G9" s="9" t="s">
        <v>2</v>
      </c>
    </row>
    <row r="10" spans="1:7" ht="12.75">
      <c r="A10" s="12" t="s">
        <v>9</v>
      </c>
      <c r="B10" s="7" t="s">
        <v>3</v>
      </c>
      <c r="C10" s="7" t="s">
        <v>18</v>
      </c>
      <c r="D10" s="7" t="s">
        <v>4</v>
      </c>
      <c r="E10" s="7" t="s">
        <v>5</v>
      </c>
      <c r="F10" s="13" t="s">
        <v>6</v>
      </c>
      <c r="G10" s="7" t="s">
        <v>7</v>
      </c>
    </row>
    <row r="12" spans="1:7" ht="12.75">
      <c r="A12" s="20">
        <v>43918</v>
      </c>
      <c r="B12" s="14">
        <v>0</v>
      </c>
      <c r="C12" s="14">
        <v>0</v>
      </c>
      <c r="D12" s="14">
        <f aca="true" t="shared" si="0" ref="D12:D63">IF(ISBLANK(B12),"",B12-C12-E12)</f>
        <v>0</v>
      </c>
      <c r="E12" s="14">
        <v>0</v>
      </c>
      <c r="F12" s="15">
        <v>0</v>
      </c>
      <c r="G12" s="14">
        <v>0</v>
      </c>
    </row>
    <row r="13" spans="1:7" ht="12.75">
      <c r="A13" s="20">
        <f aca="true" t="shared" si="1" ref="A13:A64">+A12+7</f>
        <v>43925</v>
      </c>
      <c r="B13" s="14">
        <v>0</v>
      </c>
      <c r="C13" s="14">
        <v>0</v>
      </c>
      <c r="D13" s="14">
        <f>IF(ISBLANK(B13),"",B13-C13-E13)</f>
        <v>0</v>
      </c>
      <c r="E13" s="14">
        <v>0</v>
      </c>
      <c r="F13" s="15">
        <v>0</v>
      </c>
      <c r="G13" s="14">
        <v>0</v>
      </c>
    </row>
    <row r="14" spans="1:7" ht="12.75">
      <c r="A14" s="20">
        <f t="shared" si="1"/>
        <v>43932</v>
      </c>
      <c r="B14" s="14">
        <v>0</v>
      </c>
      <c r="C14" s="14">
        <v>0</v>
      </c>
      <c r="D14" s="14">
        <f t="shared" si="0"/>
        <v>0</v>
      </c>
      <c r="E14" s="14">
        <v>0</v>
      </c>
      <c r="F14" s="15">
        <v>0</v>
      </c>
      <c r="G14" s="14">
        <v>0</v>
      </c>
    </row>
    <row r="15" spans="1:7" ht="12.75">
      <c r="A15" s="20">
        <f t="shared" si="1"/>
        <v>43939</v>
      </c>
      <c r="B15" s="14">
        <v>0</v>
      </c>
      <c r="C15" s="14">
        <v>0</v>
      </c>
      <c r="D15" s="14">
        <f>IF(ISBLANK(B15),"",B15-C15-E15)</f>
        <v>0</v>
      </c>
      <c r="E15" s="14">
        <v>0</v>
      </c>
      <c r="F15" s="15">
        <v>0</v>
      </c>
      <c r="G15" s="14">
        <v>0</v>
      </c>
    </row>
    <row r="16" spans="1:7" ht="12.75">
      <c r="A16" s="20">
        <f t="shared" si="1"/>
        <v>43946</v>
      </c>
      <c r="B16" s="14">
        <v>0</v>
      </c>
      <c r="C16" s="14">
        <v>0</v>
      </c>
      <c r="D16" s="14">
        <f>IF(ISBLANK(B16),"",B16-C16-E16)</f>
        <v>0</v>
      </c>
      <c r="E16" s="14">
        <v>0</v>
      </c>
      <c r="F16" s="15">
        <v>0</v>
      </c>
      <c r="G16" s="14">
        <v>0</v>
      </c>
    </row>
    <row r="17" spans="1:7" ht="12.75">
      <c r="A17" s="20">
        <f t="shared" si="1"/>
        <v>43953</v>
      </c>
      <c r="B17" s="14">
        <v>0</v>
      </c>
      <c r="C17" s="14">
        <v>0</v>
      </c>
      <c r="D17" s="14">
        <f aca="true" t="shared" si="2" ref="D17:D35">IF(ISBLANK(B17),"",B17-C17-E17)</f>
        <v>0</v>
      </c>
      <c r="E17" s="14">
        <v>0</v>
      </c>
      <c r="F17" s="15">
        <v>0</v>
      </c>
      <c r="G17" s="14">
        <v>0</v>
      </c>
    </row>
    <row r="18" spans="1:7" ht="12.75">
      <c r="A18" s="20">
        <f t="shared" si="1"/>
        <v>43960</v>
      </c>
      <c r="B18" s="14">
        <v>0</v>
      </c>
      <c r="C18" s="14">
        <v>0</v>
      </c>
      <c r="D18" s="14">
        <f t="shared" si="2"/>
        <v>0</v>
      </c>
      <c r="E18" s="14">
        <v>0</v>
      </c>
      <c r="F18" s="15">
        <v>0</v>
      </c>
      <c r="G18" s="14">
        <v>0</v>
      </c>
    </row>
    <row r="19" spans="1:7" ht="12.75">
      <c r="A19" s="20">
        <f t="shared" si="1"/>
        <v>43967</v>
      </c>
      <c r="B19" s="14">
        <v>0</v>
      </c>
      <c r="C19" s="14">
        <v>0</v>
      </c>
      <c r="D19" s="14">
        <f t="shared" si="2"/>
        <v>0</v>
      </c>
      <c r="E19" s="14">
        <v>0</v>
      </c>
      <c r="F19" s="15">
        <v>0</v>
      </c>
      <c r="G19" s="14">
        <v>0</v>
      </c>
    </row>
    <row r="20" spans="1:7" ht="12.75">
      <c r="A20" s="20">
        <f t="shared" si="1"/>
        <v>43974</v>
      </c>
      <c r="B20" s="14">
        <v>0</v>
      </c>
      <c r="C20" s="14">
        <v>0</v>
      </c>
      <c r="D20" s="14">
        <f t="shared" si="2"/>
        <v>0</v>
      </c>
      <c r="E20" s="14">
        <v>0</v>
      </c>
      <c r="F20" s="15">
        <v>0</v>
      </c>
      <c r="G20" s="14">
        <v>0</v>
      </c>
    </row>
    <row r="21" spans="1:7" ht="12.75">
      <c r="A21" s="20">
        <f t="shared" si="1"/>
        <v>43981</v>
      </c>
      <c r="B21" s="14">
        <v>0</v>
      </c>
      <c r="C21" s="14">
        <v>0</v>
      </c>
      <c r="D21" s="14">
        <f t="shared" si="2"/>
        <v>0</v>
      </c>
      <c r="E21" s="14">
        <v>0</v>
      </c>
      <c r="F21" s="15">
        <v>0</v>
      </c>
      <c r="G21" s="14">
        <v>0</v>
      </c>
    </row>
    <row r="22" spans="1:7" ht="12.75">
      <c r="A22" s="20">
        <f t="shared" si="1"/>
        <v>43988</v>
      </c>
      <c r="B22" s="14">
        <v>0</v>
      </c>
      <c r="C22" s="14">
        <v>0</v>
      </c>
      <c r="D22" s="14">
        <f t="shared" si="2"/>
        <v>0</v>
      </c>
      <c r="E22" s="14">
        <v>0</v>
      </c>
      <c r="F22" s="15">
        <v>0</v>
      </c>
      <c r="G22" s="14">
        <v>0</v>
      </c>
    </row>
    <row r="23" spans="1:7" ht="12.75">
      <c r="A23" s="20">
        <f t="shared" si="1"/>
        <v>43995</v>
      </c>
      <c r="B23" s="14">
        <v>0</v>
      </c>
      <c r="C23" s="14">
        <v>0</v>
      </c>
      <c r="D23" s="14">
        <f t="shared" si="2"/>
        <v>0</v>
      </c>
      <c r="E23" s="14">
        <v>0</v>
      </c>
      <c r="F23" s="15">
        <v>0</v>
      </c>
      <c r="G23" s="14">
        <v>0</v>
      </c>
    </row>
    <row r="24" spans="1:7" ht="12.75">
      <c r="A24" s="20">
        <f t="shared" si="1"/>
        <v>44002</v>
      </c>
      <c r="B24" s="14">
        <v>0</v>
      </c>
      <c r="C24" s="14">
        <v>0</v>
      </c>
      <c r="D24" s="14">
        <f t="shared" si="2"/>
        <v>0</v>
      </c>
      <c r="E24" s="14">
        <v>0</v>
      </c>
      <c r="F24" s="15">
        <v>0</v>
      </c>
      <c r="G24" s="14">
        <v>0</v>
      </c>
    </row>
    <row r="25" spans="1:7" ht="12.75">
      <c r="A25" s="20">
        <f t="shared" si="1"/>
        <v>44009</v>
      </c>
      <c r="B25" s="14">
        <v>0</v>
      </c>
      <c r="C25" s="14">
        <v>0</v>
      </c>
      <c r="D25" s="14">
        <f t="shared" si="2"/>
        <v>0</v>
      </c>
      <c r="E25" s="14">
        <v>0</v>
      </c>
      <c r="F25" s="15">
        <v>0</v>
      </c>
      <c r="G25" s="14">
        <v>0</v>
      </c>
    </row>
    <row r="26" spans="1:7" ht="12.75">
      <c r="A26" s="20">
        <f t="shared" si="1"/>
        <v>44016</v>
      </c>
      <c r="B26" s="14">
        <v>0</v>
      </c>
      <c r="C26" s="14">
        <v>0</v>
      </c>
      <c r="D26" s="14">
        <f t="shared" si="2"/>
        <v>0</v>
      </c>
      <c r="E26" s="14">
        <v>0</v>
      </c>
      <c r="F26" s="15">
        <v>0</v>
      </c>
      <c r="G26" s="14">
        <v>0</v>
      </c>
    </row>
    <row r="27" spans="1:7" ht="12.75">
      <c r="A27" s="20">
        <f t="shared" si="1"/>
        <v>44023</v>
      </c>
      <c r="B27" s="14">
        <v>0</v>
      </c>
      <c r="C27" s="14">
        <v>0</v>
      </c>
      <c r="D27" s="14">
        <f t="shared" si="2"/>
        <v>0</v>
      </c>
      <c r="E27" s="14">
        <v>0</v>
      </c>
      <c r="F27" s="15">
        <v>0</v>
      </c>
      <c r="G27" s="14">
        <v>0</v>
      </c>
    </row>
    <row r="28" spans="1:7" ht="12.75">
      <c r="A28" s="20">
        <f t="shared" si="1"/>
        <v>44030</v>
      </c>
      <c r="B28" s="14">
        <v>0</v>
      </c>
      <c r="C28" s="14">
        <v>0</v>
      </c>
      <c r="D28" s="14">
        <f t="shared" si="2"/>
        <v>0</v>
      </c>
      <c r="E28" s="14">
        <v>0</v>
      </c>
      <c r="F28" s="15">
        <v>0</v>
      </c>
      <c r="G28" s="14">
        <v>0</v>
      </c>
    </row>
    <row r="29" spans="1:7" ht="12.75">
      <c r="A29" s="20">
        <f t="shared" si="1"/>
        <v>44037</v>
      </c>
      <c r="B29" s="14">
        <v>0</v>
      </c>
      <c r="C29" s="14">
        <v>0</v>
      </c>
      <c r="D29" s="14">
        <f t="shared" si="2"/>
        <v>0</v>
      </c>
      <c r="E29" s="14">
        <v>0</v>
      </c>
      <c r="F29" s="15">
        <v>0</v>
      </c>
      <c r="G29" s="14">
        <v>0</v>
      </c>
    </row>
    <row r="30" spans="1:7" ht="12.75">
      <c r="A30" s="20">
        <f t="shared" si="1"/>
        <v>44044</v>
      </c>
      <c r="B30" s="14">
        <v>0</v>
      </c>
      <c r="C30" s="14">
        <v>0</v>
      </c>
      <c r="D30" s="14">
        <f t="shared" si="2"/>
        <v>0</v>
      </c>
      <c r="E30" s="14">
        <v>0</v>
      </c>
      <c r="F30" s="15">
        <v>0</v>
      </c>
      <c r="G30" s="14">
        <v>0</v>
      </c>
    </row>
    <row r="31" spans="1:7" ht="12.75">
      <c r="A31" s="20">
        <f t="shared" si="1"/>
        <v>44051</v>
      </c>
      <c r="B31" s="14">
        <v>0</v>
      </c>
      <c r="C31" s="14">
        <v>0</v>
      </c>
      <c r="D31" s="14">
        <f t="shared" si="2"/>
        <v>0</v>
      </c>
      <c r="E31" s="14">
        <v>0</v>
      </c>
      <c r="F31" s="15">
        <v>0</v>
      </c>
      <c r="G31" s="14">
        <v>0</v>
      </c>
    </row>
    <row r="32" spans="1:7" ht="12.75">
      <c r="A32" s="20">
        <f t="shared" si="1"/>
        <v>44058</v>
      </c>
      <c r="B32" s="14">
        <v>0</v>
      </c>
      <c r="C32" s="14">
        <v>0</v>
      </c>
      <c r="D32" s="14">
        <f t="shared" si="2"/>
        <v>0</v>
      </c>
      <c r="E32" s="14">
        <v>0</v>
      </c>
      <c r="F32" s="15">
        <v>0</v>
      </c>
      <c r="G32" s="14">
        <v>0</v>
      </c>
    </row>
    <row r="33" spans="1:7" ht="12.75">
      <c r="A33" s="20">
        <f t="shared" si="1"/>
        <v>44065</v>
      </c>
      <c r="B33" s="14">
        <v>0</v>
      </c>
      <c r="C33" s="14">
        <v>0</v>
      </c>
      <c r="D33" s="14">
        <f t="shared" si="2"/>
        <v>0</v>
      </c>
      <c r="E33" s="14">
        <v>0</v>
      </c>
      <c r="F33" s="15">
        <v>0</v>
      </c>
      <c r="G33" s="14">
        <v>0</v>
      </c>
    </row>
    <row r="34" spans="1:7" ht="12.75">
      <c r="A34" s="20">
        <f t="shared" si="1"/>
        <v>44072</v>
      </c>
      <c r="B34" s="14">
        <v>0</v>
      </c>
      <c r="C34" s="14">
        <v>0</v>
      </c>
      <c r="D34" s="14">
        <f t="shared" si="2"/>
        <v>0</v>
      </c>
      <c r="E34" s="14">
        <v>0</v>
      </c>
      <c r="F34" s="15">
        <v>0</v>
      </c>
      <c r="G34" s="14">
        <v>0</v>
      </c>
    </row>
    <row r="35" spans="1:7" ht="12.75">
      <c r="A35" s="20">
        <f t="shared" si="1"/>
        <v>44079</v>
      </c>
      <c r="B35" s="14">
        <v>0</v>
      </c>
      <c r="C35" s="14">
        <v>0</v>
      </c>
      <c r="D35" s="14">
        <f t="shared" si="2"/>
        <v>0</v>
      </c>
      <c r="E35" s="14">
        <v>0</v>
      </c>
      <c r="F35" s="15">
        <v>0</v>
      </c>
      <c r="G35" s="14">
        <v>0</v>
      </c>
    </row>
    <row r="36" spans="1:7" ht="12.75">
      <c r="A36" s="20">
        <f t="shared" si="1"/>
        <v>44086</v>
      </c>
      <c r="B36" s="14">
        <v>89832212.64</v>
      </c>
      <c r="C36" s="14">
        <v>304163.86</v>
      </c>
      <c r="D36" s="14">
        <f t="shared" si="0"/>
        <v>82472429.46000001</v>
      </c>
      <c r="E36" s="14">
        <v>7055619.319999998</v>
      </c>
      <c r="F36" s="15">
        <v>2110</v>
      </c>
      <c r="G36" s="14">
        <f>IF(ISBLANK(B36),"",E36/F36/4)</f>
        <v>835.9738530805686</v>
      </c>
    </row>
    <row r="37" spans="1:7" ht="12.75">
      <c r="A37" s="20">
        <f t="shared" si="1"/>
        <v>44093</v>
      </c>
      <c r="B37" s="14">
        <v>154957933.05</v>
      </c>
      <c r="C37" s="14">
        <v>575420.2</v>
      </c>
      <c r="D37" s="14">
        <f t="shared" si="0"/>
        <v>142279111.69</v>
      </c>
      <c r="E37" s="14">
        <v>12103401.160000024</v>
      </c>
      <c r="F37" s="15">
        <v>2084</v>
      </c>
      <c r="G37" s="14">
        <f aca="true" t="shared" si="3" ref="G37:G62">IF(ISBLANK(B37),"",E37/F37/7)</f>
        <v>829.6820098711287</v>
      </c>
    </row>
    <row r="38" spans="1:7" ht="12.75">
      <c r="A38" s="20">
        <f t="shared" si="1"/>
        <v>44100</v>
      </c>
      <c r="B38" s="14">
        <v>158173815.26000002</v>
      </c>
      <c r="C38" s="14">
        <v>591744.75</v>
      </c>
      <c r="D38" s="14">
        <f t="shared" si="0"/>
        <v>145862109.52</v>
      </c>
      <c r="E38" s="14">
        <v>11719960.99</v>
      </c>
      <c r="F38" s="15">
        <v>2065</v>
      </c>
      <c r="G38" s="14">
        <f t="shared" si="3"/>
        <v>810.7894147353857</v>
      </c>
    </row>
    <row r="39" spans="1:7" ht="12.75">
      <c r="A39" s="20">
        <f t="shared" si="1"/>
        <v>44107</v>
      </c>
      <c r="B39" s="14">
        <v>139477291.81</v>
      </c>
      <c r="C39" s="14">
        <v>748674.42</v>
      </c>
      <c r="D39" s="14">
        <f t="shared" si="0"/>
        <v>128196639.08000001</v>
      </c>
      <c r="E39" s="14">
        <v>10531978.31</v>
      </c>
      <c r="F39" s="15">
        <v>2296</v>
      </c>
      <c r="G39" s="14">
        <f t="shared" si="3"/>
        <v>655.2997952961672</v>
      </c>
    </row>
    <row r="40" spans="1:7" ht="12.75">
      <c r="A40" s="20">
        <f t="shared" si="1"/>
        <v>44114</v>
      </c>
      <c r="B40" s="14">
        <v>108440696.92</v>
      </c>
      <c r="C40" s="14">
        <v>571832.99</v>
      </c>
      <c r="D40" s="14">
        <f t="shared" si="0"/>
        <v>99559646.50000001</v>
      </c>
      <c r="E40" s="14">
        <v>8309217.429999998</v>
      </c>
      <c r="F40" s="15">
        <v>2177</v>
      </c>
      <c r="G40" s="14">
        <f t="shared" si="3"/>
        <v>545.2600190301199</v>
      </c>
    </row>
    <row r="41" spans="1:7" ht="12.75">
      <c r="A41" s="20">
        <f t="shared" si="1"/>
        <v>44121</v>
      </c>
      <c r="B41" s="14">
        <v>120658239.91999999</v>
      </c>
      <c r="C41" s="14">
        <v>619437.22</v>
      </c>
      <c r="D41" s="14">
        <f t="shared" si="0"/>
        <v>111170777.69999999</v>
      </c>
      <c r="E41" s="14">
        <v>8868025</v>
      </c>
      <c r="F41" s="15">
        <v>2177</v>
      </c>
      <c r="G41" s="14">
        <f t="shared" si="3"/>
        <v>581.9295885556795</v>
      </c>
    </row>
    <row r="42" spans="1:7" ht="12.75">
      <c r="A42" s="20">
        <f t="shared" si="1"/>
        <v>44128</v>
      </c>
      <c r="B42" s="14">
        <v>133455202.46000001</v>
      </c>
      <c r="C42" s="14">
        <v>565795.55</v>
      </c>
      <c r="D42" s="14">
        <f t="shared" si="0"/>
        <v>124064550.31000002</v>
      </c>
      <c r="E42" s="14">
        <v>8824856.599999996</v>
      </c>
      <c r="F42" s="15">
        <v>2281</v>
      </c>
      <c r="G42" s="14">
        <f t="shared" si="3"/>
        <v>552.6934677772904</v>
      </c>
    </row>
    <row r="43" spans="1:7" ht="12.75">
      <c r="A43" s="20">
        <f t="shared" si="1"/>
        <v>44135</v>
      </c>
      <c r="B43" s="14">
        <v>142016465.3</v>
      </c>
      <c r="C43" s="14">
        <v>632785.2300000001</v>
      </c>
      <c r="D43" s="14">
        <f t="shared" si="0"/>
        <v>132014125.08000003</v>
      </c>
      <c r="E43" s="14">
        <v>9369554.989999998</v>
      </c>
      <c r="F43" s="15">
        <v>2559</v>
      </c>
      <c r="G43" s="14">
        <f t="shared" si="3"/>
        <v>523.0589510411431</v>
      </c>
    </row>
    <row r="44" spans="1:7" ht="12.75">
      <c r="A44" s="20">
        <f t="shared" si="1"/>
        <v>44142</v>
      </c>
      <c r="B44" s="14">
        <v>138175753.69</v>
      </c>
      <c r="C44" s="14">
        <v>568013.33</v>
      </c>
      <c r="D44" s="14">
        <f t="shared" si="0"/>
        <v>128327810.87999998</v>
      </c>
      <c r="E44" s="14">
        <v>9279929.479999999</v>
      </c>
      <c r="F44" s="15">
        <v>2625</v>
      </c>
      <c r="G44" s="14">
        <f t="shared" si="3"/>
        <v>505.0301757823128</v>
      </c>
    </row>
    <row r="45" spans="1:7" ht="12.75">
      <c r="A45" s="20">
        <f t="shared" si="1"/>
        <v>44149</v>
      </c>
      <c r="B45" s="14">
        <v>122577337.67999999</v>
      </c>
      <c r="C45" s="14">
        <v>655013.86</v>
      </c>
      <c r="D45" s="14">
        <f t="shared" si="0"/>
        <v>113394283.85</v>
      </c>
      <c r="E45" s="14">
        <v>8528039.969999997</v>
      </c>
      <c r="F45" s="15">
        <v>2681</v>
      </c>
      <c r="G45" s="14">
        <f t="shared" si="3"/>
        <v>454.4167938402514</v>
      </c>
    </row>
    <row r="46" spans="1:7" ht="12.75">
      <c r="A46" s="20">
        <f t="shared" si="1"/>
        <v>44156</v>
      </c>
      <c r="B46" s="14">
        <v>110097682.97</v>
      </c>
      <c r="C46" s="14">
        <v>620581.77</v>
      </c>
      <c r="D46" s="14">
        <f t="shared" si="0"/>
        <v>102301673.21000001</v>
      </c>
      <c r="E46" s="14">
        <v>7175427.989999998</v>
      </c>
      <c r="F46" s="15">
        <v>2722</v>
      </c>
      <c r="G46" s="14">
        <f t="shared" si="3"/>
        <v>376.5838138973443</v>
      </c>
    </row>
    <row r="47" spans="1:7" ht="12.75">
      <c r="A47" s="20">
        <f t="shared" si="1"/>
        <v>44163</v>
      </c>
      <c r="B47" s="14">
        <v>120644919.41</v>
      </c>
      <c r="C47" s="14">
        <v>645779.36</v>
      </c>
      <c r="D47" s="14">
        <f t="shared" si="0"/>
        <v>111743136.92</v>
      </c>
      <c r="E47" s="14">
        <v>8256003.129999996</v>
      </c>
      <c r="F47" s="15">
        <v>3036</v>
      </c>
      <c r="G47" s="14">
        <f t="shared" si="3"/>
        <v>388.48123141351385</v>
      </c>
    </row>
    <row r="48" spans="1:7" ht="12.75">
      <c r="A48" s="20">
        <f t="shared" si="1"/>
        <v>44170</v>
      </c>
      <c r="B48" s="14">
        <v>122659719.75</v>
      </c>
      <c r="C48" s="14">
        <v>747108.79</v>
      </c>
      <c r="D48" s="14">
        <f t="shared" si="0"/>
        <v>113661754.17999999</v>
      </c>
      <c r="E48" s="14">
        <v>8250856.780000006</v>
      </c>
      <c r="F48" s="15">
        <v>3165</v>
      </c>
      <c r="G48" s="14">
        <f t="shared" si="3"/>
        <v>372.4151108102011</v>
      </c>
    </row>
    <row r="49" spans="1:7" ht="12.75">
      <c r="A49" s="20">
        <f t="shared" si="1"/>
        <v>44177</v>
      </c>
      <c r="B49" s="14">
        <v>119915885.13</v>
      </c>
      <c r="C49" s="14">
        <v>806172.39</v>
      </c>
      <c r="D49" s="14">
        <f t="shared" si="0"/>
        <v>111248925.35</v>
      </c>
      <c r="E49" s="14">
        <v>7860787.390000004</v>
      </c>
      <c r="F49" s="15">
        <v>3346</v>
      </c>
      <c r="G49" s="14">
        <f t="shared" si="3"/>
        <v>335.61554905644283</v>
      </c>
    </row>
    <row r="50" spans="1:7" ht="12.75">
      <c r="A50" s="20">
        <f t="shared" si="1"/>
        <v>44184</v>
      </c>
      <c r="B50" s="14">
        <v>101543828.26</v>
      </c>
      <c r="C50" s="14">
        <v>896247.67</v>
      </c>
      <c r="D50" s="14">
        <f t="shared" si="0"/>
        <v>93922774.83</v>
      </c>
      <c r="E50" s="14">
        <v>6724805.76</v>
      </c>
      <c r="F50" s="15">
        <v>3346</v>
      </c>
      <c r="G50" s="14">
        <f t="shared" si="3"/>
        <v>287.11492443002305</v>
      </c>
    </row>
    <row r="51" spans="1:7" ht="12.75">
      <c r="A51" s="20">
        <f t="shared" si="1"/>
        <v>44191</v>
      </c>
      <c r="B51" s="14">
        <v>117562526.29</v>
      </c>
      <c r="C51" s="14">
        <v>858567.9799999999</v>
      </c>
      <c r="D51" s="14">
        <f t="shared" si="0"/>
        <v>108777938.72</v>
      </c>
      <c r="E51" s="14">
        <v>7926019.590000001</v>
      </c>
      <c r="F51" s="15">
        <v>3346</v>
      </c>
      <c r="G51" s="14">
        <f t="shared" si="3"/>
        <v>338.400631457604</v>
      </c>
    </row>
    <row r="52" spans="1:7" ht="12.75">
      <c r="A52" s="20">
        <f t="shared" si="1"/>
        <v>44198</v>
      </c>
      <c r="B52" s="14">
        <v>141776109.98</v>
      </c>
      <c r="C52" s="14">
        <v>770719.5499999999</v>
      </c>
      <c r="D52" s="14">
        <f t="shared" si="0"/>
        <v>131136714.90999997</v>
      </c>
      <c r="E52" s="14">
        <v>9868675.520000005</v>
      </c>
      <c r="F52" s="15">
        <v>3370</v>
      </c>
      <c r="G52" s="14">
        <f t="shared" si="3"/>
        <v>418.34148028825797</v>
      </c>
    </row>
    <row r="53" spans="1:7" ht="12.75">
      <c r="A53" s="20">
        <f t="shared" si="1"/>
        <v>44205</v>
      </c>
      <c r="B53" s="14">
        <v>130479842.49999999</v>
      </c>
      <c r="C53" s="14">
        <v>417987.0800000001</v>
      </c>
      <c r="D53" s="14">
        <f t="shared" si="0"/>
        <v>120734733.57999998</v>
      </c>
      <c r="E53" s="14">
        <v>9327121.839999998</v>
      </c>
      <c r="F53" s="15">
        <v>3419</v>
      </c>
      <c r="G53" s="14">
        <f t="shared" si="3"/>
        <v>389.7180395270128</v>
      </c>
    </row>
    <row r="54" spans="1:7" ht="12.75">
      <c r="A54" s="20">
        <f t="shared" si="1"/>
        <v>44212</v>
      </c>
      <c r="B54" s="14">
        <v>126447024.22</v>
      </c>
      <c r="C54" s="14">
        <v>453642.38999999996</v>
      </c>
      <c r="D54" s="14">
        <f t="shared" si="0"/>
        <v>117041903.66</v>
      </c>
      <c r="E54" s="14">
        <v>8951478.170000002</v>
      </c>
      <c r="F54" s="15">
        <v>3559</v>
      </c>
      <c r="G54" s="14">
        <f t="shared" si="3"/>
        <v>359.30952394332286</v>
      </c>
    </row>
    <row r="55" spans="1:7" ht="12.75">
      <c r="A55" s="20">
        <f t="shared" si="1"/>
        <v>44219</v>
      </c>
      <c r="B55" s="14">
        <v>132044192.91999999</v>
      </c>
      <c r="C55" s="14">
        <v>456517.65</v>
      </c>
      <c r="D55" s="14">
        <f t="shared" si="0"/>
        <v>122094936.58999999</v>
      </c>
      <c r="E55" s="14">
        <v>9492738.679999996</v>
      </c>
      <c r="F55" s="15">
        <v>3632</v>
      </c>
      <c r="G55" s="14">
        <f t="shared" si="3"/>
        <v>373.37707205789786</v>
      </c>
    </row>
    <row r="56" spans="1:7" ht="12.75">
      <c r="A56" s="20">
        <f t="shared" si="1"/>
        <v>44226</v>
      </c>
      <c r="B56" s="14">
        <v>122973972.66999999</v>
      </c>
      <c r="C56" s="14">
        <v>420441.8</v>
      </c>
      <c r="D56" s="14">
        <f t="shared" si="0"/>
        <v>113330011.88</v>
      </c>
      <c r="E56" s="14">
        <v>9223518.99</v>
      </c>
      <c r="F56" s="15">
        <v>3535</v>
      </c>
      <c r="G56" s="14">
        <f t="shared" si="3"/>
        <v>372.74273550212166</v>
      </c>
    </row>
    <row r="57" spans="1:7" ht="12.75">
      <c r="A57" s="20">
        <f t="shared" si="1"/>
        <v>44233</v>
      </c>
      <c r="B57" s="14">
        <v>101704882.86000001</v>
      </c>
      <c r="C57" s="14">
        <v>365736.53</v>
      </c>
      <c r="D57" s="14">
        <f t="shared" si="0"/>
        <v>93775841.26000002</v>
      </c>
      <c r="E57" s="14">
        <v>7563305.07</v>
      </c>
      <c r="F57" s="15">
        <v>3465</v>
      </c>
      <c r="G57" s="14">
        <f t="shared" si="3"/>
        <v>311.82457513914653</v>
      </c>
    </row>
    <row r="58" spans="1:7" ht="12.75">
      <c r="A58" s="20">
        <f t="shared" si="1"/>
        <v>44240</v>
      </c>
      <c r="B58" s="14">
        <v>114132252.6</v>
      </c>
      <c r="C58" s="14">
        <v>383344.20000000007</v>
      </c>
      <c r="D58" s="14">
        <f t="shared" si="0"/>
        <v>105132508.93999998</v>
      </c>
      <c r="E58" s="14">
        <v>8616399.460000003</v>
      </c>
      <c r="F58" s="15">
        <v>3465</v>
      </c>
      <c r="G58" s="14">
        <f t="shared" si="3"/>
        <v>355.2421958359102</v>
      </c>
    </row>
    <row r="59" spans="1:7" ht="12.75">
      <c r="A59" s="20">
        <f t="shared" si="1"/>
        <v>44247</v>
      </c>
      <c r="B59" s="14">
        <v>129359152.79999998</v>
      </c>
      <c r="C59" s="14">
        <v>435846.58999999997</v>
      </c>
      <c r="D59" s="14">
        <f t="shared" si="0"/>
        <v>119330396.21999998</v>
      </c>
      <c r="E59" s="14">
        <v>9592909.99</v>
      </c>
      <c r="F59" s="15">
        <v>3465</v>
      </c>
      <c r="G59" s="14">
        <f t="shared" si="3"/>
        <v>395.5023702329417</v>
      </c>
    </row>
    <row r="60" spans="1:7" ht="12.75">
      <c r="A60" s="20">
        <f t="shared" si="1"/>
        <v>44254</v>
      </c>
      <c r="B60" s="14">
        <v>137644261.89999998</v>
      </c>
      <c r="C60" s="14">
        <v>449441.56</v>
      </c>
      <c r="D60" s="14">
        <f t="shared" si="0"/>
        <v>127207283.05999997</v>
      </c>
      <c r="E60" s="14">
        <v>9987537.280000001</v>
      </c>
      <c r="F60" s="15">
        <v>3465</v>
      </c>
      <c r="G60" s="14">
        <f t="shared" si="3"/>
        <v>411.772305916306</v>
      </c>
    </row>
    <row r="61" spans="1:7" ht="12.75">
      <c r="A61" s="20">
        <f t="shared" si="1"/>
        <v>44261</v>
      </c>
      <c r="B61" s="14">
        <v>145896212.75</v>
      </c>
      <c r="C61" s="14">
        <v>541534.4500000001</v>
      </c>
      <c r="D61" s="14">
        <f t="shared" si="0"/>
        <v>134514769.19</v>
      </c>
      <c r="E61" s="14">
        <v>10839909.110000024</v>
      </c>
      <c r="F61" s="15">
        <v>3466</v>
      </c>
      <c r="G61" s="14">
        <f t="shared" si="3"/>
        <v>446.7854715192492</v>
      </c>
    </row>
    <row r="62" spans="1:7" ht="12.75">
      <c r="A62" s="20">
        <f t="shared" si="1"/>
        <v>44268</v>
      </c>
      <c r="B62" s="14">
        <v>145488781.26</v>
      </c>
      <c r="C62" s="14">
        <v>543866.5800000001</v>
      </c>
      <c r="D62" s="14">
        <f t="shared" si="0"/>
        <v>134111548.24000001</v>
      </c>
      <c r="E62" s="14">
        <v>10833366.439999975</v>
      </c>
      <c r="F62" s="15">
        <v>3550</v>
      </c>
      <c r="G62" s="14">
        <f t="shared" si="3"/>
        <v>435.9503597585503</v>
      </c>
    </row>
    <row r="63" spans="1:7" ht="12.75">
      <c r="A63" s="20">
        <f t="shared" si="1"/>
        <v>44275</v>
      </c>
      <c r="B63" s="14">
        <v>157623976.82999998</v>
      </c>
      <c r="C63" s="14">
        <v>542772.14</v>
      </c>
      <c r="D63" s="14">
        <f t="shared" si="0"/>
        <v>145169809.28</v>
      </c>
      <c r="E63" s="14">
        <v>11911395.409999996</v>
      </c>
      <c r="F63" s="15">
        <v>3671</v>
      </c>
      <c r="G63" s="14">
        <f>IF(ISBLANK(B63),"",E63/F63/7)</f>
        <v>463.53252947814906</v>
      </c>
    </row>
    <row r="64" spans="1:7" ht="12.75">
      <c r="A64" s="20">
        <f t="shared" si="1"/>
        <v>44282</v>
      </c>
      <c r="B64" s="14">
        <v>161031619.76999998</v>
      </c>
      <c r="C64" s="14">
        <v>602683.8600000001</v>
      </c>
      <c r="D64" s="14">
        <f>IF(ISBLANK(B64),"",B64-C64-E64)</f>
        <v>148744982.35999998</v>
      </c>
      <c r="E64" s="14">
        <v>11683953.549999993</v>
      </c>
      <c r="F64" s="15">
        <v>3792</v>
      </c>
      <c r="G64" s="14">
        <f>IF(ISBLANK(B64),"",E64/F64/7)</f>
        <v>440.1730541742011</v>
      </c>
    </row>
    <row r="65" ht="12.75">
      <c r="A65" s="20"/>
    </row>
    <row r="66" spans="1:7" s="19" customFormat="1" ht="13.5" thickBot="1">
      <c r="A66" s="2" t="s">
        <v>8</v>
      </c>
      <c r="B66" s="16">
        <f>SUM(B12:B65)</f>
        <v>3746791793.6</v>
      </c>
      <c r="C66" s="16">
        <f>SUM(C12:C65)</f>
        <v>16791873.750000004</v>
      </c>
      <c r="D66" s="16">
        <f>SUM(D12:D65)</f>
        <v>3461323126.450001</v>
      </c>
      <c r="E66" s="16">
        <f>SUM(E12:E65)</f>
        <v>268676793.40000004</v>
      </c>
      <c r="F66" s="21">
        <f>_xlfn.IFERROR(SUM(F36:F65)/COUNT(F36:F65)," ")</f>
        <v>3030</v>
      </c>
      <c r="G66" s="16">
        <f>E66/F66/200</f>
        <v>443.3610452145215</v>
      </c>
    </row>
    <row r="67" spans="1:7" ht="13.5" thickTop="1">
      <c r="A67" s="17"/>
      <c r="B67" s="18"/>
      <c r="C67" s="18"/>
      <c r="D67" s="18"/>
      <c r="E67" s="18"/>
      <c r="F67" s="19"/>
      <c r="G67" s="19"/>
    </row>
  </sheetData>
  <sheetProtection/>
  <mergeCells count="6">
    <mergeCell ref="A1:G1"/>
    <mergeCell ref="A2:G2"/>
    <mergeCell ref="A3:G3"/>
    <mergeCell ref="A4:G4"/>
    <mergeCell ref="C5:D5"/>
    <mergeCell ref="A7:G7"/>
  </mergeCells>
  <hyperlinks>
    <hyperlink ref="A4" r:id="rId1" display="www.rwnewyork.com"/>
  </hyperlinks>
  <printOptions horizontalCentered="1"/>
  <pageMargins left="0" right="0" top="0.5" bottom="0.25" header="0.5" footer="0.5"/>
  <pageSetup fitToHeight="1" fitToWidth="1" horizontalDpi="600" verticalDpi="600" orientation="portrait" scale="86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zoomScalePageLayoutView="0" workbookViewId="0" topLeftCell="A1">
      <pane ySplit="10" topLeftCell="A56" activePane="bottomLeft" state="frozen"/>
      <selection pane="topLeft" activeCell="A1" sqref="A1"/>
      <selection pane="bottomLeft" activeCell="G65" sqref="G65"/>
    </sheetView>
  </sheetViews>
  <sheetFormatPr defaultColWidth="9.140625" defaultRowHeight="12.75"/>
  <cols>
    <col min="1" max="1" width="15.7109375" style="2" customWidth="1"/>
    <col min="2" max="3" width="16.28125" style="14" customWidth="1"/>
    <col min="4" max="4" width="15.7109375" style="14" customWidth="1"/>
    <col min="5" max="5" width="15.00390625" style="14" customWidth="1"/>
    <col min="6" max="6" width="10.140625" style="15" customWidth="1"/>
    <col min="7" max="7" width="11.57421875" style="14" customWidth="1"/>
  </cols>
  <sheetData>
    <row r="1" spans="1:7" ht="26.25" customHeight="1">
      <c r="A1" s="28" t="s">
        <v>16</v>
      </c>
      <c r="B1" s="28"/>
      <c r="C1" s="28"/>
      <c r="D1" s="28"/>
      <c r="E1" s="28"/>
      <c r="F1" s="28"/>
      <c r="G1" s="28"/>
    </row>
    <row r="2" spans="1:7" ht="15">
      <c r="A2" s="29" t="s">
        <v>12</v>
      </c>
      <c r="B2" s="29"/>
      <c r="C2" s="29"/>
      <c r="D2" s="29"/>
      <c r="E2" s="29"/>
      <c r="F2" s="29"/>
      <c r="G2" s="29"/>
    </row>
    <row r="3" spans="1:7" s="1" customFormat="1" ht="15">
      <c r="A3" s="29" t="s">
        <v>13</v>
      </c>
      <c r="B3" s="29"/>
      <c r="C3" s="29"/>
      <c r="D3" s="29"/>
      <c r="E3" s="29"/>
      <c r="F3" s="29"/>
      <c r="G3" s="29"/>
    </row>
    <row r="4" spans="1:7" s="1" customFormat="1" ht="15">
      <c r="A4" s="30" t="s">
        <v>14</v>
      </c>
      <c r="B4" s="30"/>
      <c r="C4" s="30"/>
      <c r="D4" s="30"/>
      <c r="E4" s="30"/>
      <c r="F4" s="30"/>
      <c r="G4" s="30"/>
    </row>
    <row r="5" spans="1:7" s="1" customFormat="1" ht="14.25">
      <c r="A5" s="23"/>
      <c r="B5" s="22"/>
      <c r="C5" s="31" t="s">
        <v>15</v>
      </c>
      <c r="D5" s="31"/>
      <c r="E5" s="22"/>
      <c r="F5" s="22"/>
      <c r="G5" s="22"/>
    </row>
    <row r="6" spans="1:7" s="6" customFormat="1" ht="8.25" customHeight="1">
      <c r="A6" s="2"/>
      <c r="B6" s="3"/>
      <c r="C6" s="3"/>
      <c r="D6" s="3"/>
      <c r="E6" s="4"/>
      <c r="F6" s="5"/>
      <c r="G6" s="4"/>
    </row>
    <row r="7" spans="1:7" s="1" customFormat="1" ht="12" customHeight="1">
      <c r="A7" s="32" t="s">
        <v>25</v>
      </c>
      <c r="B7" s="33"/>
      <c r="C7" s="33"/>
      <c r="D7" s="33"/>
      <c r="E7" s="33"/>
      <c r="F7" s="33"/>
      <c r="G7" s="34"/>
    </row>
    <row r="8" spans="1:7" s="11" customFormat="1" ht="12.75">
      <c r="A8" s="2"/>
      <c r="B8" s="3"/>
      <c r="C8" s="3"/>
      <c r="D8" s="3"/>
      <c r="E8" s="4"/>
      <c r="F8" s="5"/>
      <c r="G8" s="4"/>
    </row>
    <row r="9" spans="1:7" s="11" customFormat="1" ht="12">
      <c r="A9" s="8"/>
      <c r="B9" s="9" t="s">
        <v>0</v>
      </c>
      <c r="C9" s="9" t="s">
        <v>11</v>
      </c>
      <c r="D9" s="9" t="s">
        <v>0</v>
      </c>
      <c r="E9" s="9"/>
      <c r="F9" s="10" t="s">
        <v>1</v>
      </c>
      <c r="G9" s="9" t="s">
        <v>2</v>
      </c>
    </row>
    <row r="10" spans="1:7" ht="12.75">
      <c r="A10" s="12" t="s">
        <v>9</v>
      </c>
      <c r="B10" s="7" t="s">
        <v>3</v>
      </c>
      <c r="C10" s="7" t="s">
        <v>18</v>
      </c>
      <c r="D10" s="7" t="s">
        <v>4</v>
      </c>
      <c r="E10" s="7" t="s">
        <v>5</v>
      </c>
      <c r="F10" s="13" t="s">
        <v>6</v>
      </c>
      <c r="G10" s="7" t="s">
        <v>7</v>
      </c>
    </row>
    <row r="12" spans="1:7" ht="12.75">
      <c r="A12" s="20">
        <v>43554</v>
      </c>
      <c r="B12" s="14">
        <v>293290293</v>
      </c>
      <c r="C12" s="14">
        <v>2577204</v>
      </c>
      <c r="D12" s="14">
        <f aca="true" t="shared" si="0" ref="D12:D63">IF(ISBLANK(B12),"",B12-C12-E12)</f>
        <v>276755318</v>
      </c>
      <c r="E12" s="14">
        <v>13957771</v>
      </c>
      <c r="F12" s="15">
        <f aca="true" t="shared" si="1" ref="F12:F18">38787/7</f>
        <v>5541</v>
      </c>
      <c r="G12" s="14">
        <f>IF(ISBLANK(B12),"",E12/F12/7)</f>
        <v>359.8569366024699</v>
      </c>
    </row>
    <row r="13" spans="1:7" ht="12.75">
      <c r="A13" s="20">
        <f aca="true" t="shared" si="2" ref="A13:A63">+A12+7</f>
        <v>43561</v>
      </c>
      <c r="B13" s="14">
        <v>300264793.93</v>
      </c>
      <c r="C13" s="14">
        <v>2799693.38</v>
      </c>
      <c r="D13" s="14">
        <f t="shared" si="0"/>
        <v>282649480.51</v>
      </c>
      <c r="E13" s="14">
        <v>14815620.04</v>
      </c>
      <c r="F13" s="15">
        <f t="shared" si="1"/>
        <v>5541</v>
      </c>
      <c r="G13" s="14">
        <f aca="true" t="shared" si="3" ref="G13:G62">IF(ISBLANK(B13),"",E13/F13/7)</f>
        <v>381.973858251476</v>
      </c>
    </row>
    <row r="14" spans="1:7" ht="12.75">
      <c r="A14" s="20">
        <f t="shared" si="2"/>
        <v>43568</v>
      </c>
      <c r="B14" s="14">
        <v>283693623.54</v>
      </c>
      <c r="C14" s="14">
        <v>2424961.21</v>
      </c>
      <c r="D14" s="14">
        <f t="shared" si="0"/>
        <v>266888818.45000005</v>
      </c>
      <c r="E14" s="14">
        <v>14379843.88</v>
      </c>
      <c r="F14" s="15">
        <f t="shared" si="1"/>
        <v>5541</v>
      </c>
      <c r="G14" s="14">
        <f t="shared" si="3"/>
        <v>370.7387495810452</v>
      </c>
    </row>
    <row r="15" spans="1:7" ht="12.75">
      <c r="A15" s="20">
        <f t="shared" si="2"/>
        <v>43575</v>
      </c>
      <c r="B15" s="14">
        <v>280781562</v>
      </c>
      <c r="C15" s="14">
        <v>2397401</v>
      </c>
      <c r="D15" s="14">
        <f t="shared" si="0"/>
        <v>264446456</v>
      </c>
      <c r="E15" s="14">
        <v>13937705</v>
      </c>
      <c r="F15" s="15">
        <f t="shared" si="1"/>
        <v>5541</v>
      </c>
      <c r="G15" s="14">
        <f t="shared" si="3"/>
        <v>359.3395983190244</v>
      </c>
    </row>
    <row r="16" spans="1:7" ht="12.75">
      <c r="A16" s="20">
        <f t="shared" si="2"/>
        <v>43582</v>
      </c>
      <c r="B16" s="14">
        <v>282420539.33</v>
      </c>
      <c r="C16" s="14">
        <v>2533393.38</v>
      </c>
      <c r="D16" s="14">
        <f t="shared" si="0"/>
        <v>265614191.01</v>
      </c>
      <c r="E16" s="14">
        <v>14272954.94</v>
      </c>
      <c r="F16" s="15">
        <f t="shared" si="1"/>
        <v>5541</v>
      </c>
      <c r="G16" s="14">
        <f t="shared" si="3"/>
        <v>367.9829566607368</v>
      </c>
    </row>
    <row r="17" spans="1:7" ht="12.75">
      <c r="A17" s="20">
        <f t="shared" si="2"/>
        <v>43589</v>
      </c>
      <c r="B17" s="14">
        <v>297060397.22</v>
      </c>
      <c r="C17" s="14">
        <v>2607370.56</v>
      </c>
      <c r="D17" s="14">
        <f t="shared" si="0"/>
        <v>279269586.85</v>
      </c>
      <c r="E17" s="14">
        <v>15183439.81</v>
      </c>
      <c r="F17" s="15">
        <f t="shared" si="1"/>
        <v>5541</v>
      </c>
      <c r="G17" s="14">
        <f t="shared" si="3"/>
        <v>391.45692654755464</v>
      </c>
    </row>
    <row r="18" spans="1:7" ht="12.75">
      <c r="A18" s="20">
        <f t="shared" si="2"/>
        <v>43596</v>
      </c>
      <c r="B18" s="14">
        <v>273450931.22</v>
      </c>
      <c r="C18" s="14">
        <v>2401964.02</v>
      </c>
      <c r="D18" s="14">
        <f t="shared" si="0"/>
        <v>257315743.31</v>
      </c>
      <c r="E18" s="14">
        <v>13733223.89000004</v>
      </c>
      <c r="F18" s="15">
        <f t="shared" si="1"/>
        <v>5541</v>
      </c>
      <c r="G18" s="14">
        <f t="shared" si="3"/>
        <v>354.06770026039754</v>
      </c>
    </row>
    <row r="19" spans="1:7" ht="12.75">
      <c r="A19" s="20">
        <f t="shared" si="2"/>
        <v>43603</v>
      </c>
      <c r="B19" s="14">
        <v>277386209.95</v>
      </c>
      <c r="C19" s="14">
        <v>2868546.29</v>
      </c>
      <c r="D19" s="14">
        <f t="shared" si="0"/>
        <v>260539430.85999995</v>
      </c>
      <c r="E19" s="14">
        <v>13978232.8</v>
      </c>
      <c r="F19" s="15">
        <f>38529/7</f>
        <v>5504.142857142857</v>
      </c>
      <c r="G19" s="14">
        <f t="shared" si="3"/>
        <v>362.7977056243349</v>
      </c>
    </row>
    <row r="20" spans="1:7" ht="12.75">
      <c r="A20" s="20">
        <f t="shared" si="2"/>
        <v>43610</v>
      </c>
      <c r="B20" s="14">
        <v>260573082</v>
      </c>
      <c r="C20" s="14">
        <v>2461680</v>
      </c>
      <c r="D20" s="14">
        <f t="shared" si="0"/>
        <v>244596986</v>
      </c>
      <c r="E20" s="14">
        <v>13514416</v>
      </c>
      <c r="F20" s="15">
        <f>38572/7</f>
        <v>5510.285714285715</v>
      </c>
      <c r="G20" s="14">
        <f t="shared" si="3"/>
        <v>350.3685575028518</v>
      </c>
    </row>
    <row r="21" spans="1:7" ht="12.75">
      <c r="A21" s="20">
        <f t="shared" si="2"/>
        <v>43617</v>
      </c>
      <c r="B21" s="14">
        <v>259461662.46</v>
      </c>
      <c r="C21" s="14">
        <v>3032300.37</v>
      </c>
      <c r="D21" s="14">
        <f t="shared" si="0"/>
        <v>242885145.47</v>
      </c>
      <c r="E21" s="14">
        <v>13544216.62</v>
      </c>
      <c r="F21" s="15">
        <f>38787/7</f>
        <v>5541</v>
      </c>
      <c r="G21" s="14">
        <f t="shared" si="3"/>
        <v>349.19474617784306</v>
      </c>
    </row>
    <row r="22" spans="1:7" ht="12.75">
      <c r="A22" s="20">
        <f t="shared" si="2"/>
        <v>43624</v>
      </c>
      <c r="B22" s="14">
        <v>254692448.76</v>
      </c>
      <c r="C22" s="14">
        <f>2478992.24-15259</f>
        <v>2463733.24</v>
      </c>
      <c r="D22" s="14">
        <f t="shared" si="0"/>
        <v>239037415.57</v>
      </c>
      <c r="E22" s="14">
        <v>13191299.95</v>
      </c>
      <c r="F22" s="15">
        <f>38787/7</f>
        <v>5541</v>
      </c>
      <c r="G22" s="14">
        <f t="shared" si="3"/>
        <v>340.09590713383346</v>
      </c>
    </row>
    <row r="23" spans="1:7" ht="12.75">
      <c r="A23" s="20">
        <f t="shared" si="2"/>
        <v>43631</v>
      </c>
      <c r="B23" s="14">
        <v>258710797.25</v>
      </c>
      <c r="C23" s="14">
        <v>2767371.8</v>
      </c>
      <c r="D23" s="14">
        <f t="shared" si="0"/>
        <v>243274390.45</v>
      </c>
      <c r="E23" s="14">
        <v>12669035</v>
      </c>
      <c r="F23" s="15">
        <f>38787/7</f>
        <v>5541</v>
      </c>
      <c r="G23" s="14">
        <f t="shared" si="3"/>
        <v>326.6309588264109</v>
      </c>
    </row>
    <row r="24" spans="1:7" ht="12.75">
      <c r="A24" s="20">
        <f t="shared" si="2"/>
        <v>43638</v>
      </c>
      <c r="B24" s="14">
        <v>258327407.96</v>
      </c>
      <c r="C24" s="14">
        <v>2663214.37</v>
      </c>
      <c r="D24" s="14">
        <f t="shared" si="0"/>
        <v>242780774.3</v>
      </c>
      <c r="E24" s="14">
        <v>12883419.29</v>
      </c>
      <c r="F24" s="15">
        <f>38787/7</f>
        <v>5541</v>
      </c>
      <c r="G24" s="14">
        <f t="shared" si="3"/>
        <v>332.1581790290561</v>
      </c>
    </row>
    <row r="25" spans="1:7" ht="12.75">
      <c r="A25" s="20">
        <f t="shared" si="2"/>
        <v>43645</v>
      </c>
      <c r="B25" s="14">
        <v>247353256.3</v>
      </c>
      <c r="C25" s="14">
        <v>2842229.15</v>
      </c>
      <c r="D25" s="14">
        <f t="shared" si="0"/>
        <v>232505639.6</v>
      </c>
      <c r="E25" s="14">
        <v>12005387.55</v>
      </c>
      <c r="F25" s="15">
        <f>38597/7</f>
        <v>5513.857142857143</v>
      </c>
      <c r="G25" s="14">
        <f t="shared" si="3"/>
        <v>311.0445772987538</v>
      </c>
    </row>
    <row r="26" spans="1:7" ht="12.75">
      <c r="A26" s="20">
        <f t="shared" si="2"/>
        <v>43652</v>
      </c>
      <c r="B26" s="14">
        <v>286790686.1</v>
      </c>
      <c r="C26" s="14">
        <v>2880056.16</v>
      </c>
      <c r="D26" s="14">
        <f t="shared" si="0"/>
        <v>269087003.67</v>
      </c>
      <c r="E26" s="14">
        <v>14823626.27</v>
      </c>
      <c r="F26" s="15">
        <f>38521/7</f>
        <v>5503</v>
      </c>
      <c r="G26" s="14">
        <f t="shared" si="3"/>
        <v>384.8193523013421</v>
      </c>
    </row>
    <row r="27" spans="1:7" ht="12.75">
      <c r="A27" s="20">
        <f t="shared" si="2"/>
        <v>43659</v>
      </c>
      <c r="B27" s="14">
        <v>250782762.35</v>
      </c>
      <c r="C27" s="14">
        <f>2425901.2-640054.75</f>
        <v>1785846.4500000002</v>
      </c>
      <c r="D27" s="14">
        <f t="shared" si="0"/>
        <v>235574335.01</v>
      </c>
      <c r="E27" s="14">
        <v>13422580.89</v>
      </c>
      <c r="F27" s="15">
        <f>38521/7</f>
        <v>5503</v>
      </c>
      <c r="G27" s="14">
        <f t="shared" si="3"/>
        <v>348.44840191064617</v>
      </c>
    </row>
    <row r="28" spans="1:7" ht="12.75">
      <c r="A28" s="20">
        <f t="shared" si="2"/>
        <v>43666</v>
      </c>
      <c r="B28" s="14">
        <v>248859906.79</v>
      </c>
      <c r="C28" s="14">
        <v>2466428.39</v>
      </c>
      <c r="D28" s="14">
        <f t="shared" si="0"/>
        <v>234518408.53</v>
      </c>
      <c r="E28" s="14">
        <v>11875069.87</v>
      </c>
      <c r="F28" s="15">
        <v>5497</v>
      </c>
      <c r="G28" s="14">
        <f t="shared" si="3"/>
        <v>308.6117069050651</v>
      </c>
    </row>
    <row r="29" spans="1:7" ht="12.75">
      <c r="A29" s="20">
        <f t="shared" si="2"/>
        <v>43673</v>
      </c>
      <c r="B29" s="14">
        <v>248011761.62</v>
      </c>
      <c r="C29" s="14">
        <v>2418027.06</v>
      </c>
      <c r="D29" s="14">
        <f t="shared" si="0"/>
        <v>233194660.83</v>
      </c>
      <c r="E29" s="14">
        <v>12399073.73</v>
      </c>
      <c r="F29" s="15">
        <v>5499</v>
      </c>
      <c r="G29" s="14">
        <f t="shared" si="3"/>
        <v>322.11242901306736</v>
      </c>
    </row>
    <row r="30" spans="1:7" ht="12.75">
      <c r="A30" s="20">
        <f t="shared" si="2"/>
        <v>43680</v>
      </c>
      <c r="B30" s="14">
        <v>256469395.14</v>
      </c>
      <c r="C30" s="14">
        <v>2541922.15</v>
      </c>
      <c r="D30" s="14">
        <f t="shared" si="0"/>
        <v>240854397.35999998</v>
      </c>
      <c r="E30" s="14">
        <v>13073075.63</v>
      </c>
      <c r="F30" s="15">
        <f aca="true" t="shared" si="4" ref="F30:F36">38493/7</f>
        <v>5499</v>
      </c>
      <c r="G30" s="14">
        <f t="shared" si="3"/>
        <v>339.62215545683637</v>
      </c>
    </row>
    <row r="31" spans="1:7" ht="12.75">
      <c r="A31" s="20">
        <f t="shared" si="2"/>
        <v>43687</v>
      </c>
      <c r="B31" s="14">
        <v>252372306.41</v>
      </c>
      <c r="C31" s="14">
        <v>2241910.52</v>
      </c>
      <c r="D31" s="14">
        <f t="shared" si="0"/>
        <v>236726154.57999998</v>
      </c>
      <c r="E31" s="14">
        <v>13404241.31</v>
      </c>
      <c r="F31" s="15">
        <f t="shared" si="4"/>
        <v>5499</v>
      </c>
      <c r="G31" s="14">
        <f t="shared" si="3"/>
        <v>348.22542566180863</v>
      </c>
    </row>
    <row r="32" spans="1:7" ht="12.75">
      <c r="A32" s="20">
        <f t="shared" si="2"/>
        <v>43694</v>
      </c>
      <c r="B32" s="14">
        <v>256438922.40999997</v>
      </c>
      <c r="C32" s="14">
        <v>1976256.1400000001</v>
      </c>
      <c r="D32" s="14">
        <f t="shared" si="0"/>
        <v>241315448.85</v>
      </c>
      <c r="E32" s="14">
        <v>13147217.41999999</v>
      </c>
      <c r="F32" s="15">
        <f t="shared" si="4"/>
        <v>5499</v>
      </c>
      <c r="G32" s="14">
        <f t="shared" si="3"/>
        <v>341.5482664380534</v>
      </c>
    </row>
    <row r="33" spans="1:7" ht="12.75">
      <c r="A33" s="20">
        <f t="shared" si="2"/>
        <v>43701</v>
      </c>
      <c r="B33" s="14">
        <v>253974622.07</v>
      </c>
      <c r="C33" s="14">
        <v>2323181.81</v>
      </c>
      <c r="D33" s="14">
        <f t="shared" si="0"/>
        <v>238804812.64</v>
      </c>
      <c r="E33" s="14">
        <v>12846627.620000003</v>
      </c>
      <c r="F33" s="15">
        <f t="shared" si="4"/>
        <v>5499</v>
      </c>
      <c r="G33" s="14">
        <f t="shared" si="3"/>
        <v>333.73931935676626</v>
      </c>
    </row>
    <row r="34" spans="1:7" ht="12.75">
      <c r="A34" s="20">
        <f t="shared" si="2"/>
        <v>43708</v>
      </c>
      <c r="B34" s="14">
        <v>260690695.1</v>
      </c>
      <c r="C34" s="14">
        <v>2410261.4299999997</v>
      </c>
      <c r="D34" s="14">
        <f t="shared" si="0"/>
        <v>245046774.20999998</v>
      </c>
      <c r="E34" s="14">
        <v>13233659.46</v>
      </c>
      <c r="F34" s="15">
        <f t="shared" si="4"/>
        <v>5499</v>
      </c>
      <c r="G34" s="14">
        <f t="shared" si="3"/>
        <v>343.7939225313694</v>
      </c>
    </row>
    <row r="35" spans="1:7" ht="12.75">
      <c r="A35" s="20">
        <f t="shared" si="2"/>
        <v>43715</v>
      </c>
      <c r="B35" s="14">
        <v>271247172.41</v>
      </c>
      <c r="C35" s="14">
        <v>2326643.32</v>
      </c>
      <c r="D35" s="14">
        <f t="shared" si="0"/>
        <v>254652676.97000003</v>
      </c>
      <c r="E35" s="14">
        <v>14267852.119999997</v>
      </c>
      <c r="F35" s="15">
        <f t="shared" si="4"/>
        <v>5499</v>
      </c>
      <c r="G35" s="14">
        <f t="shared" si="3"/>
        <v>370.6609544592523</v>
      </c>
    </row>
    <row r="36" spans="1:7" ht="12.75">
      <c r="A36" s="20">
        <f t="shared" si="2"/>
        <v>43722</v>
      </c>
      <c r="B36" s="14">
        <v>252195913.53</v>
      </c>
      <c r="C36" s="14">
        <v>2355653.23</v>
      </c>
      <c r="D36" s="14">
        <f t="shared" si="0"/>
        <v>237212174.79000002</v>
      </c>
      <c r="E36" s="14">
        <v>12628085.51</v>
      </c>
      <c r="F36" s="15">
        <f t="shared" si="4"/>
        <v>5499</v>
      </c>
      <c r="G36" s="14">
        <f t="shared" si="3"/>
        <v>328.0618686514431</v>
      </c>
    </row>
    <row r="37" spans="1:7" ht="12.75">
      <c r="A37" s="20">
        <f t="shared" si="2"/>
        <v>43729</v>
      </c>
      <c r="B37" s="14">
        <v>253540235.54000002</v>
      </c>
      <c r="C37" s="14">
        <v>2435160.51</v>
      </c>
      <c r="D37" s="14">
        <f t="shared" si="0"/>
        <v>238124819.08</v>
      </c>
      <c r="E37" s="14">
        <v>12980255.95000002</v>
      </c>
      <c r="F37" s="15">
        <f>40320/7</f>
        <v>5760</v>
      </c>
      <c r="G37" s="14">
        <f t="shared" si="3"/>
        <v>321.93095114087356</v>
      </c>
    </row>
    <row r="38" spans="1:7" ht="12.75">
      <c r="A38" s="20">
        <f t="shared" si="2"/>
        <v>43736</v>
      </c>
      <c r="B38" s="14">
        <v>221405795.8</v>
      </c>
      <c r="C38" s="14">
        <v>2430677.49</v>
      </c>
      <c r="D38" s="14">
        <f t="shared" si="0"/>
        <v>207093938.01</v>
      </c>
      <c r="E38" s="14">
        <v>11881180.300000004</v>
      </c>
      <c r="F38" s="15">
        <f>40452/7</f>
        <v>5778.857142857143</v>
      </c>
      <c r="G38" s="14">
        <f t="shared" si="3"/>
        <v>293.71057796895093</v>
      </c>
    </row>
    <row r="39" spans="1:7" ht="12.75">
      <c r="A39" s="20">
        <f t="shared" si="2"/>
        <v>43743</v>
      </c>
      <c r="B39" s="14">
        <v>191710852.51999998</v>
      </c>
      <c r="C39" s="14">
        <v>2381555.01</v>
      </c>
      <c r="D39" s="14">
        <f t="shared" si="0"/>
        <v>177025061.22000003</v>
      </c>
      <c r="E39" s="14">
        <v>12304236.289999973</v>
      </c>
      <c r="F39" s="15">
        <f aca="true" t="shared" si="5" ref="F39:F50">38836/7</f>
        <v>5548</v>
      </c>
      <c r="G39" s="14">
        <f t="shared" si="3"/>
        <v>316.8255301781845</v>
      </c>
    </row>
    <row r="40" spans="1:7" ht="12.75">
      <c r="A40" s="20">
        <f t="shared" si="2"/>
        <v>43750</v>
      </c>
      <c r="B40" s="14">
        <v>187222308.07</v>
      </c>
      <c r="C40" s="14">
        <v>2064910.78</v>
      </c>
      <c r="D40" s="14">
        <f t="shared" si="0"/>
        <v>173429441.5</v>
      </c>
      <c r="E40" s="14">
        <v>11727955.790000007</v>
      </c>
      <c r="F40" s="15">
        <f t="shared" si="5"/>
        <v>5548</v>
      </c>
      <c r="G40" s="14">
        <f t="shared" si="3"/>
        <v>301.9867079513855</v>
      </c>
    </row>
    <row r="41" spans="1:7" ht="12.75">
      <c r="A41" s="20">
        <f t="shared" si="2"/>
        <v>43757</v>
      </c>
      <c r="B41" s="14">
        <v>184244965.03000003</v>
      </c>
      <c r="C41" s="14">
        <v>2206922.2399999998</v>
      </c>
      <c r="D41" s="14">
        <f t="shared" si="0"/>
        <v>170136521.87</v>
      </c>
      <c r="E41" s="14">
        <v>11901520.920000006</v>
      </c>
      <c r="F41" s="15">
        <f t="shared" si="5"/>
        <v>5548</v>
      </c>
      <c r="G41" s="14">
        <f t="shared" si="3"/>
        <v>306.45588938098683</v>
      </c>
    </row>
    <row r="42" spans="1:7" ht="12.75">
      <c r="A42" s="20">
        <f t="shared" si="2"/>
        <v>43764</v>
      </c>
      <c r="B42" s="14">
        <v>179060822.37</v>
      </c>
      <c r="C42" s="14">
        <v>2123156.64</v>
      </c>
      <c r="D42" s="14">
        <f t="shared" si="0"/>
        <v>165466764.56000003</v>
      </c>
      <c r="E42" s="14">
        <v>11470901.169999983</v>
      </c>
      <c r="F42" s="15">
        <f t="shared" si="5"/>
        <v>5548</v>
      </c>
      <c r="G42" s="14">
        <f t="shared" si="3"/>
        <v>295.36773019878416</v>
      </c>
    </row>
    <row r="43" spans="1:7" ht="12.75">
      <c r="A43" s="20">
        <f t="shared" si="2"/>
        <v>43771</v>
      </c>
      <c r="B43" s="14">
        <v>190405462.39</v>
      </c>
      <c r="C43" s="14">
        <v>2234508.13</v>
      </c>
      <c r="D43" s="14">
        <f t="shared" si="0"/>
        <v>176140746.24</v>
      </c>
      <c r="E43" s="14">
        <v>12030208.019999985</v>
      </c>
      <c r="F43" s="15">
        <f t="shared" si="5"/>
        <v>5548</v>
      </c>
      <c r="G43" s="14">
        <f t="shared" si="3"/>
        <v>309.76949273869565</v>
      </c>
    </row>
    <row r="44" spans="1:7" ht="12.75">
      <c r="A44" s="20">
        <f t="shared" si="2"/>
        <v>43778</v>
      </c>
      <c r="B44" s="14">
        <v>184351870.35</v>
      </c>
      <c r="C44" s="14">
        <v>2083063.2</v>
      </c>
      <c r="D44" s="14">
        <f t="shared" si="0"/>
        <v>171074364.6</v>
      </c>
      <c r="E44" s="14">
        <v>11194442.55</v>
      </c>
      <c r="F44" s="15">
        <f t="shared" si="5"/>
        <v>5548</v>
      </c>
      <c r="G44" s="14">
        <f t="shared" si="3"/>
        <v>288.24911293645073</v>
      </c>
    </row>
    <row r="45" spans="1:7" ht="12.75">
      <c r="A45" s="20">
        <f t="shared" si="2"/>
        <v>43785</v>
      </c>
      <c r="B45" s="14">
        <v>177813857.3</v>
      </c>
      <c r="C45" s="14">
        <v>2129048.6</v>
      </c>
      <c r="D45" s="14">
        <f t="shared" si="0"/>
        <v>164642781.33999997</v>
      </c>
      <c r="E45" s="14">
        <v>11042027.360000031</v>
      </c>
      <c r="F45" s="15">
        <f t="shared" si="5"/>
        <v>5548</v>
      </c>
      <c r="G45" s="14">
        <f t="shared" si="3"/>
        <v>284.32452775775135</v>
      </c>
    </row>
    <row r="46" spans="1:7" ht="12.75">
      <c r="A46" s="20">
        <f t="shared" si="2"/>
        <v>43792</v>
      </c>
      <c r="B46" s="14">
        <v>176251755.57999998</v>
      </c>
      <c r="C46" s="14">
        <v>2117981.77</v>
      </c>
      <c r="D46" s="14">
        <f t="shared" si="0"/>
        <v>163161280.03999996</v>
      </c>
      <c r="E46" s="14">
        <v>10972493.770000007</v>
      </c>
      <c r="F46" s="15">
        <f t="shared" si="5"/>
        <v>5548</v>
      </c>
      <c r="G46" s="14">
        <f t="shared" si="3"/>
        <v>282.53408615717393</v>
      </c>
    </row>
    <row r="47" spans="1:7" ht="12.75">
      <c r="A47" s="20">
        <f t="shared" si="2"/>
        <v>43799</v>
      </c>
      <c r="B47" s="14">
        <v>198182165.65</v>
      </c>
      <c r="C47" s="14">
        <v>2258605.58</v>
      </c>
      <c r="D47" s="14">
        <f t="shared" si="0"/>
        <v>183583163.88</v>
      </c>
      <c r="E47" s="14">
        <v>12340396.18999999</v>
      </c>
      <c r="F47" s="15">
        <f t="shared" si="5"/>
        <v>5548</v>
      </c>
      <c r="G47" s="14">
        <f t="shared" si="3"/>
        <v>317.7566224636932</v>
      </c>
    </row>
    <row r="48" spans="1:7" ht="12.75">
      <c r="A48" s="20">
        <f t="shared" si="2"/>
        <v>43806</v>
      </c>
      <c r="B48" s="14">
        <v>175482011.95</v>
      </c>
      <c r="C48" s="14">
        <v>1879766.59</v>
      </c>
      <c r="D48" s="14">
        <f t="shared" si="0"/>
        <v>162724566.07</v>
      </c>
      <c r="E48" s="14">
        <v>10877679.29</v>
      </c>
      <c r="F48" s="15">
        <f t="shared" si="5"/>
        <v>5548</v>
      </c>
      <c r="G48" s="14">
        <f t="shared" si="3"/>
        <v>280.0926792151612</v>
      </c>
    </row>
    <row r="49" spans="1:7" ht="12.75">
      <c r="A49" s="20">
        <f t="shared" si="2"/>
        <v>43813</v>
      </c>
      <c r="B49" s="14">
        <v>177615900.87</v>
      </c>
      <c r="C49" s="14">
        <v>1928538.67</v>
      </c>
      <c r="D49" s="14">
        <f t="shared" si="0"/>
        <v>164848930.23000002</v>
      </c>
      <c r="E49" s="14">
        <v>10838431.969999984</v>
      </c>
      <c r="F49" s="15">
        <f t="shared" si="5"/>
        <v>5548</v>
      </c>
      <c r="G49" s="14">
        <f t="shared" si="3"/>
        <v>279.0820880111233</v>
      </c>
    </row>
    <row r="50" spans="1:7" ht="12.75">
      <c r="A50" s="20">
        <f t="shared" si="2"/>
        <v>43820</v>
      </c>
      <c r="B50" s="14">
        <v>174519835.7</v>
      </c>
      <c r="C50" s="14">
        <v>2138473.37</v>
      </c>
      <c r="D50" s="14">
        <f t="shared" si="0"/>
        <v>161985344.1</v>
      </c>
      <c r="E50" s="14">
        <v>10396018.23</v>
      </c>
      <c r="F50" s="15">
        <f t="shared" si="5"/>
        <v>5548</v>
      </c>
      <c r="G50" s="14">
        <f t="shared" si="3"/>
        <v>267.6902417859718</v>
      </c>
    </row>
    <row r="51" spans="1:7" ht="12.75">
      <c r="A51" s="20">
        <f t="shared" si="2"/>
        <v>43827</v>
      </c>
      <c r="B51" s="14">
        <v>207292105.77999997</v>
      </c>
      <c r="C51" s="14">
        <v>2208944.77</v>
      </c>
      <c r="D51" s="14">
        <f t="shared" si="0"/>
        <v>191302010</v>
      </c>
      <c r="E51" s="14">
        <v>13781151.009999953</v>
      </c>
      <c r="F51" s="15">
        <f>38836/7</f>
        <v>5548</v>
      </c>
      <c r="G51" s="14">
        <f t="shared" si="3"/>
        <v>354.8550574209484</v>
      </c>
    </row>
    <row r="52" spans="1:7" ht="12.75">
      <c r="A52" s="20">
        <f t="shared" si="2"/>
        <v>43834</v>
      </c>
      <c r="B52" s="14">
        <v>216754782.4</v>
      </c>
      <c r="C52" s="14">
        <v>2352162.12</v>
      </c>
      <c r="D52" s="14">
        <f t="shared" si="0"/>
        <v>200485706.29000002</v>
      </c>
      <c r="E52" s="14">
        <v>13916913.989999993</v>
      </c>
      <c r="F52" s="15">
        <f>38836/7</f>
        <v>5548</v>
      </c>
      <c r="G52" s="14">
        <f t="shared" si="3"/>
        <v>358.35085976928605</v>
      </c>
    </row>
    <row r="53" spans="1:7" ht="12.75">
      <c r="A53" s="20">
        <f t="shared" si="2"/>
        <v>43841</v>
      </c>
      <c r="B53" s="14">
        <v>189976991.73999998</v>
      </c>
      <c r="C53" s="14">
        <v>2121440.33</v>
      </c>
      <c r="D53" s="14">
        <f t="shared" si="0"/>
        <v>175859773.2</v>
      </c>
      <c r="E53" s="14">
        <v>11995778.209999982</v>
      </c>
      <c r="F53" s="15">
        <f>38836/7</f>
        <v>5548</v>
      </c>
      <c r="G53" s="14">
        <f t="shared" si="3"/>
        <v>308.8829490678747</v>
      </c>
    </row>
    <row r="54" spans="1:7" ht="12.75">
      <c r="A54" s="20">
        <f t="shared" si="2"/>
        <v>43848</v>
      </c>
      <c r="B54" s="14">
        <v>164611311.03</v>
      </c>
      <c r="C54" s="14">
        <v>2042764.64</v>
      </c>
      <c r="D54" s="14">
        <f t="shared" si="0"/>
        <v>151828296.35000002</v>
      </c>
      <c r="E54" s="14">
        <v>10740250.039999982</v>
      </c>
      <c r="F54" s="15">
        <f>38524/7</f>
        <v>5503.428571428572</v>
      </c>
      <c r="G54" s="14">
        <f t="shared" si="3"/>
        <v>278.7937400062294</v>
      </c>
    </row>
    <row r="55" spans="1:7" ht="12.75">
      <c r="A55" s="20">
        <f t="shared" si="2"/>
        <v>43855</v>
      </c>
      <c r="B55" s="14">
        <v>186306958.46</v>
      </c>
      <c r="C55" s="14">
        <v>2183886.67</v>
      </c>
      <c r="D55" s="14">
        <f t="shared" si="0"/>
        <v>172348718.73</v>
      </c>
      <c r="E55" s="14">
        <v>11774353.06000002</v>
      </c>
      <c r="F55" s="15">
        <f>38472/7</f>
        <v>5496</v>
      </c>
      <c r="G55" s="14">
        <f t="shared" si="3"/>
        <v>306.0499339779585</v>
      </c>
    </row>
    <row r="56" spans="1:7" ht="12.75">
      <c r="A56" s="20">
        <f t="shared" si="2"/>
        <v>43862</v>
      </c>
      <c r="B56" s="14">
        <v>180146299.87</v>
      </c>
      <c r="C56" s="14">
        <v>2277090.18</v>
      </c>
      <c r="D56" s="14">
        <f t="shared" si="0"/>
        <v>166411836.78</v>
      </c>
      <c r="E56" s="14">
        <v>11457372.91</v>
      </c>
      <c r="F56" s="15">
        <f>38472/7</f>
        <v>5496</v>
      </c>
      <c r="G56" s="14">
        <f t="shared" si="3"/>
        <v>297.81069115200665</v>
      </c>
    </row>
    <row r="57" spans="1:7" ht="12.75">
      <c r="A57" s="20">
        <f t="shared" si="2"/>
        <v>43869</v>
      </c>
      <c r="B57" s="14">
        <v>185438741.94000003</v>
      </c>
      <c r="C57" s="14">
        <v>2162712.84</v>
      </c>
      <c r="D57" s="14">
        <f t="shared" si="0"/>
        <v>171623410.93</v>
      </c>
      <c r="E57" s="14">
        <v>11652618.170000032</v>
      </c>
      <c r="F57" s="15">
        <f>38472/7</f>
        <v>5496</v>
      </c>
      <c r="G57" s="14">
        <f t="shared" si="3"/>
        <v>302.88568751299727</v>
      </c>
    </row>
    <row r="58" spans="1:7" ht="12.75">
      <c r="A58" s="20">
        <f t="shared" si="2"/>
        <v>43876</v>
      </c>
      <c r="B58" s="14">
        <v>182393480.32</v>
      </c>
      <c r="C58" s="14">
        <v>2293651.7</v>
      </c>
      <c r="D58" s="14">
        <f t="shared" si="0"/>
        <v>168658924.75000003</v>
      </c>
      <c r="E58" s="14">
        <v>11440903.869999979</v>
      </c>
      <c r="F58" s="15">
        <f>38472/7</f>
        <v>5496</v>
      </c>
      <c r="G58" s="14">
        <f t="shared" si="3"/>
        <v>297.382612549386</v>
      </c>
    </row>
    <row r="59" spans="1:7" ht="12.75">
      <c r="A59" s="20">
        <f t="shared" si="2"/>
        <v>43883</v>
      </c>
      <c r="B59" s="14">
        <v>199243786.67000002</v>
      </c>
      <c r="C59" s="14">
        <v>2438342.88</v>
      </c>
      <c r="D59" s="14">
        <f t="shared" si="0"/>
        <v>184023061.35</v>
      </c>
      <c r="E59" s="14">
        <v>12782382.440000027</v>
      </c>
      <c r="F59" s="15">
        <f>38576/7</f>
        <v>5510.857142857143</v>
      </c>
      <c r="G59" s="14">
        <f t="shared" si="3"/>
        <v>331.35582849440135</v>
      </c>
    </row>
    <row r="60" spans="1:7" ht="12.75">
      <c r="A60" s="20">
        <f t="shared" si="2"/>
        <v>43890</v>
      </c>
      <c r="B60" s="14">
        <v>196507758.70000002</v>
      </c>
      <c r="C60" s="14">
        <v>2626440.49</v>
      </c>
      <c r="D60" s="14">
        <f t="shared" si="0"/>
        <v>181756476</v>
      </c>
      <c r="E60" s="14">
        <v>12124842.210000023</v>
      </c>
      <c r="F60" s="15">
        <f>38836/7</f>
        <v>5548</v>
      </c>
      <c r="G60" s="14">
        <f t="shared" si="3"/>
        <v>312.20625733855246</v>
      </c>
    </row>
    <row r="61" spans="1:7" ht="12.75">
      <c r="A61" s="20">
        <f t="shared" si="2"/>
        <v>43897</v>
      </c>
      <c r="B61" s="14">
        <v>190599964.95999998</v>
      </c>
      <c r="C61" s="14">
        <v>2151067.29</v>
      </c>
      <c r="D61" s="14">
        <f t="shared" si="0"/>
        <v>176832236.06</v>
      </c>
      <c r="E61" s="14">
        <v>11616661.609999988</v>
      </c>
      <c r="F61" s="15">
        <f>38836/7</f>
        <v>5548</v>
      </c>
      <c r="G61" s="14">
        <f t="shared" si="3"/>
        <v>299.1209601915745</v>
      </c>
    </row>
    <row r="62" spans="1:7" ht="12.75">
      <c r="A62" s="20">
        <f t="shared" si="2"/>
        <v>43904</v>
      </c>
      <c r="B62" s="14">
        <v>144702013.73999998</v>
      </c>
      <c r="C62" s="14">
        <v>1678206.89</v>
      </c>
      <c r="D62" s="14">
        <f t="shared" si="0"/>
        <v>134422295.27</v>
      </c>
      <c r="E62" s="14">
        <v>8601511.579999981</v>
      </c>
      <c r="F62" s="15">
        <f>38836/7</f>
        <v>5548</v>
      </c>
      <c r="G62" s="14">
        <f t="shared" si="3"/>
        <v>221.4829431455346</v>
      </c>
    </row>
    <row r="63" spans="1:7" ht="12.75">
      <c r="A63" s="20">
        <f t="shared" si="2"/>
        <v>43911</v>
      </c>
      <c r="B63" s="14">
        <v>13809127.09</v>
      </c>
      <c r="C63" s="14">
        <v>156484.43</v>
      </c>
      <c r="D63" s="14">
        <f t="shared" si="0"/>
        <v>12718811.59</v>
      </c>
      <c r="E63" s="14">
        <v>933831.07</v>
      </c>
      <c r="F63" s="15">
        <f>5548/1</f>
        <v>5548</v>
      </c>
      <c r="G63" s="14">
        <f>IF(ISBLANK(B63),"",E63/F63/1)</f>
        <v>168.31850576784427</v>
      </c>
    </row>
    <row r="64" ht="12.75">
      <c r="A64" s="20"/>
    </row>
    <row r="65" spans="1:7" s="19" customFormat="1" ht="13.5" thickBot="1">
      <c r="A65" s="2" t="s">
        <v>8</v>
      </c>
      <c r="B65" s="16">
        <f>SUM(B12:B64)</f>
        <v>11594892310.670002</v>
      </c>
      <c r="C65" s="16">
        <f>SUM(C12:C64)</f>
        <v>119672813.24000002</v>
      </c>
      <c r="D65" s="16">
        <f>SUM(D12:D64)</f>
        <v>10833255503.860004</v>
      </c>
      <c r="E65" s="16">
        <f>SUM(E12:E64)</f>
        <v>641963993.5700002</v>
      </c>
      <c r="F65" s="21">
        <f>_xlfn.IFERROR(SUM(F12:F64)/COUNT(F12:F64)," ")</f>
        <v>5536.989010989011</v>
      </c>
      <c r="G65" s="16">
        <f>_xlfn.IFERROR(E65/SUM(F12:F64)/7," ")</f>
        <v>318.5192062820274</v>
      </c>
    </row>
    <row r="66" spans="1:7" ht="13.5" thickTop="1">
      <c r="A66" s="17"/>
      <c r="B66" s="18"/>
      <c r="C66" s="18"/>
      <c r="D66" s="18"/>
      <c r="E66" s="18"/>
      <c r="F66" s="19"/>
      <c r="G66" s="19"/>
    </row>
  </sheetData>
  <sheetProtection/>
  <mergeCells count="6">
    <mergeCell ref="A1:G1"/>
    <mergeCell ref="A2:G2"/>
    <mergeCell ref="A3:G3"/>
    <mergeCell ref="A4:G4"/>
    <mergeCell ref="C5:D5"/>
    <mergeCell ref="A7:G7"/>
  </mergeCells>
  <hyperlinks>
    <hyperlink ref="A4" r:id="rId1" display="www.rwnewyork.com"/>
  </hyperlinks>
  <printOptions horizontalCentered="1"/>
  <pageMargins left="0" right="0" top="0.5" bottom="0.25" header="0.5" footer="0.5"/>
  <pageSetup fitToHeight="1" fitToWidth="1" horizontalDpi="600" verticalDpi="600" orientation="portrait" scale="88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zoomScalePageLayoutView="0" workbookViewId="0" topLeftCell="A1">
      <pane ySplit="10" topLeftCell="A56" activePane="bottomLeft" state="frozen"/>
      <selection pane="topLeft" activeCell="A1" sqref="A1"/>
      <selection pane="bottomLeft" activeCell="A64" sqref="A64"/>
    </sheetView>
  </sheetViews>
  <sheetFormatPr defaultColWidth="9.140625" defaultRowHeight="12.75"/>
  <cols>
    <col min="1" max="1" width="15.7109375" style="2" customWidth="1"/>
    <col min="2" max="3" width="16.28125" style="14" customWidth="1"/>
    <col min="4" max="4" width="15.7109375" style="14" customWidth="1"/>
    <col min="5" max="5" width="15.00390625" style="14" customWidth="1"/>
    <col min="6" max="6" width="10.140625" style="15" customWidth="1"/>
    <col min="7" max="7" width="11.57421875" style="14" customWidth="1"/>
  </cols>
  <sheetData>
    <row r="1" spans="1:7" ht="26.25" customHeight="1">
      <c r="A1" s="28" t="s">
        <v>16</v>
      </c>
      <c r="B1" s="28"/>
      <c r="C1" s="28"/>
      <c r="D1" s="28"/>
      <c r="E1" s="28"/>
      <c r="F1" s="28"/>
      <c r="G1" s="28"/>
    </row>
    <row r="2" spans="1:7" ht="15">
      <c r="A2" s="29" t="s">
        <v>12</v>
      </c>
      <c r="B2" s="29"/>
      <c r="C2" s="29"/>
      <c r="D2" s="29"/>
      <c r="E2" s="29"/>
      <c r="F2" s="29"/>
      <c r="G2" s="29"/>
    </row>
    <row r="3" spans="1:7" s="1" customFormat="1" ht="15">
      <c r="A3" s="29" t="s">
        <v>13</v>
      </c>
      <c r="B3" s="29"/>
      <c r="C3" s="29"/>
      <c r="D3" s="29"/>
      <c r="E3" s="29"/>
      <c r="F3" s="29"/>
      <c r="G3" s="29"/>
    </row>
    <row r="4" spans="1:7" s="1" customFormat="1" ht="15">
      <c r="A4" s="30" t="s">
        <v>14</v>
      </c>
      <c r="B4" s="30"/>
      <c r="C4" s="30"/>
      <c r="D4" s="30"/>
      <c r="E4" s="30"/>
      <c r="F4" s="30"/>
      <c r="G4" s="30"/>
    </row>
    <row r="5" spans="1:7" s="1" customFormat="1" ht="14.25">
      <c r="A5" s="23"/>
      <c r="B5" s="22"/>
      <c r="C5" s="31" t="s">
        <v>15</v>
      </c>
      <c r="D5" s="31"/>
      <c r="E5" s="22"/>
      <c r="F5" s="22"/>
      <c r="G5" s="22"/>
    </row>
    <row r="6" spans="1:7" s="6" customFormat="1" ht="8.25" customHeight="1">
      <c r="A6" s="2"/>
      <c r="B6" s="3"/>
      <c r="C6" s="3"/>
      <c r="D6" s="3"/>
      <c r="E6" s="4"/>
      <c r="F6" s="5"/>
      <c r="G6" s="4"/>
    </row>
    <row r="7" spans="1:7" s="1" customFormat="1" ht="12" customHeight="1">
      <c r="A7" s="32" t="s">
        <v>24</v>
      </c>
      <c r="B7" s="33"/>
      <c r="C7" s="33"/>
      <c r="D7" s="33"/>
      <c r="E7" s="33"/>
      <c r="F7" s="33"/>
      <c r="G7" s="34"/>
    </row>
    <row r="8" spans="1:7" s="11" customFormat="1" ht="12.75">
      <c r="A8" s="2"/>
      <c r="B8" s="3"/>
      <c r="C8" s="3"/>
      <c r="D8" s="3"/>
      <c r="E8" s="4"/>
      <c r="F8" s="5"/>
      <c r="G8" s="4"/>
    </row>
    <row r="9" spans="1:7" s="11" customFormat="1" ht="12">
      <c r="A9" s="8"/>
      <c r="B9" s="9" t="s">
        <v>0</v>
      </c>
      <c r="C9" s="9" t="s">
        <v>11</v>
      </c>
      <c r="D9" s="9" t="s">
        <v>0</v>
      </c>
      <c r="E9" s="9"/>
      <c r="F9" s="10" t="s">
        <v>1</v>
      </c>
      <c r="G9" s="9" t="s">
        <v>2</v>
      </c>
    </row>
    <row r="10" spans="1:7" ht="12.75">
      <c r="A10" s="12" t="s">
        <v>9</v>
      </c>
      <c r="B10" s="7" t="s">
        <v>3</v>
      </c>
      <c r="C10" s="7" t="s">
        <v>18</v>
      </c>
      <c r="D10" s="7" t="s">
        <v>4</v>
      </c>
      <c r="E10" s="7" t="s">
        <v>5</v>
      </c>
      <c r="F10" s="13" t="s">
        <v>6</v>
      </c>
      <c r="G10" s="7" t="s">
        <v>7</v>
      </c>
    </row>
    <row r="12" spans="1:7" ht="12.75">
      <c r="A12" s="20">
        <v>43190</v>
      </c>
      <c r="B12" s="14">
        <v>287015034</v>
      </c>
      <c r="C12" s="14">
        <v>2727832</v>
      </c>
      <c r="D12" s="14">
        <f aca="true" t="shared" si="0" ref="D12:D63">IF(ISBLANK(B12),"",B12-C12-E12)</f>
        <v>270185790</v>
      </c>
      <c r="E12" s="14">
        <v>14101412</v>
      </c>
      <c r="F12" s="15">
        <v>5545</v>
      </c>
      <c r="G12" s="14">
        <v>363</v>
      </c>
    </row>
    <row r="13" spans="1:7" ht="12.75">
      <c r="A13" s="20">
        <f aca="true" t="shared" si="1" ref="A13:A44">+A12+7</f>
        <v>43197</v>
      </c>
      <c r="B13" s="14">
        <v>297287705</v>
      </c>
      <c r="C13" s="14">
        <v>2602968</v>
      </c>
      <c r="D13" s="14">
        <f t="shared" si="0"/>
        <v>279204628</v>
      </c>
      <c r="E13" s="14">
        <v>15480109</v>
      </c>
      <c r="F13" s="15">
        <f aca="true" t="shared" si="2" ref="F13:F18">38815/7</f>
        <v>5545</v>
      </c>
      <c r="G13" s="14">
        <v>399</v>
      </c>
    </row>
    <row r="14" spans="1:7" ht="12.75">
      <c r="A14" s="20">
        <f t="shared" si="1"/>
        <v>43204</v>
      </c>
      <c r="B14" s="14">
        <v>277636474</v>
      </c>
      <c r="C14" s="14">
        <v>2428581</v>
      </c>
      <c r="D14" s="14">
        <f t="shared" si="0"/>
        <v>261394082</v>
      </c>
      <c r="E14" s="14">
        <v>13813811</v>
      </c>
      <c r="F14" s="15">
        <f t="shared" si="2"/>
        <v>5545</v>
      </c>
      <c r="G14" s="14">
        <v>356</v>
      </c>
    </row>
    <row r="15" spans="1:7" ht="12.75">
      <c r="A15" s="20">
        <f t="shared" si="1"/>
        <v>43211</v>
      </c>
      <c r="B15" s="14">
        <v>286010841</v>
      </c>
      <c r="C15" s="14">
        <v>2469470</v>
      </c>
      <c r="D15" s="14">
        <f t="shared" si="0"/>
        <v>269711789</v>
      </c>
      <c r="E15" s="14">
        <v>13829582</v>
      </c>
      <c r="F15" s="15">
        <f t="shared" si="2"/>
        <v>5545</v>
      </c>
      <c r="G15" s="14">
        <v>356</v>
      </c>
    </row>
    <row r="16" spans="1:7" ht="12.75">
      <c r="A16" s="20">
        <f t="shared" si="1"/>
        <v>43218</v>
      </c>
      <c r="B16" s="14">
        <v>281506060</v>
      </c>
      <c r="C16" s="14">
        <v>2515015</v>
      </c>
      <c r="D16" s="14">
        <f t="shared" si="0"/>
        <v>264929740</v>
      </c>
      <c r="E16" s="14">
        <v>14061305</v>
      </c>
      <c r="F16" s="15">
        <f t="shared" si="2"/>
        <v>5545</v>
      </c>
      <c r="G16" s="14">
        <v>362</v>
      </c>
    </row>
    <row r="17" spans="1:7" ht="12.75">
      <c r="A17" s="20">
        <f t="shared" si="1"/>
        <v>43225</v>
      </c>
      <c r="B17" s="14">
        <v>281001151</v>
      </c>
      <c r="C17" s="14">
        <v>2431056</v>
      </c>
      <c r="D17" s="14">
        <f t="shared" si="0"/>
        <v>264235157</v>
      </c>
      <c r="E17" s="14">
        <v>14334938</v>
      </c>
      <c r="F17" s="15">
        <f t="shared" si="2"/>
        <v>5545</v>
      </c>
      <c r="G17" s="14">
        <v>369</v>
      </c>
    </row>
    <row r="18" spans="1:7" ht="12.75">
      <c r="A18" s="20">
        <f t="shared" si="1"/>
        <v>43232</v>
      </c>
      <c r="B18" s="14">
        <v>270142641</v>
      </c>
      <c r="C18" s="14">
        <v>2256193</v>
      </c>
      <c r="D18" s="14">
        <f t="shared" si="0"/>
        <v>254051960</v>
      </c>
      <c r="E18" s="14">
        <v>13834488</v>
      </c>
      <c r="F18" s="15">
        <f t="shared" si="2"/>
        <v>5545</v>
      </c>
      <c r="G18" s="14">
        <v>356</v>
      </c>
    </row>
    <row r="19" spans="1:7" ht="12.75">
      <c r="A19" s="20">
        <f t="shared" si="1"/>
        <v>43239</v>
      </c>
      <c r="B19" s="14">
        <v>278087896</v>
      </c>
      <c r="C19" s="14">
        <v>2415456</v>
      </c>
      <c r="D19" s="14">
        <f t="shared" si="0"/>
        <v>261863899</v>
      </c>
      <c r="E19" s="14">
        <v>13808541</v>
      </c>
      <c r="F19" s="15">
        <f aca="true" t="shared" si="3" ref="F19:F24">38815/7</f>
        <v>5545</v>
      </c>
      <c r="G19" s="14">
        <v>356</v>
      </c>
    </row>
    <row r="20" spans="1:7" ht="12.75">
      <c r="A20" s="20">
        <f t="shared" si="1"/>
        <v>43246</v>
      </c>
      <c r="B20" s="14">
        <v>263498555</v>
      </c>
      <c r="C20" s="14">
        <f>2365817-11374</f>
        <v>2354443</v>
      </c>
      <c r="D20" s="14">
        <f t="shared" si="0"/>
        <v>248380180</v>
      </c>
      <c r="E20" s="14">
        <v>12763932</v>
      </c>
      <c r="F20" s="15">
        <f t="shared" si="3"/>
        <v>5545</v>
      </c>
      <c r="G20" s="14">
        <v>329</v>
      </c>
    </row>
    <row r="21" spans="1:7" ht="12.75">
      <c r="A21" s="20">
        <f t="shared" si="1"/>
        <v>43253</v>
      </c>
      <c r="B21" s="14">
        <v>280578915</v>
      </c>
      <c r="C21" s="14">
        <v>2007581</v>
      </c>
      <c r="D21" s="14">
        <f t="shared" si="0"/>
        <v>263710999</v>
      </c>
      <c r="E21" s="14">
        <v>14860335</v>
      </c>
      <c r="F21" s="15">
        <f t="shared" si="3"/>
        <v>5545</v>
      </c>
      <c r="G21" s="14">
        <v>383</v>
      </c>
    </row>
    <row r="22" spans="1:7" ht="12.75">
      <c r="A22" s="20">
        <f t="shared" si="1"/>
        <v>43260</v>
      </c>
      <c r="B22" s="14">
        <v>264289307</v>
      </c>
      <c r="C22" s="14">
        <v>2246637</v>
      </c>
      <c r="D22" s="14">
        <f t="shared" si="0"/>
        <v>249040656</v>
      </c>
      <c r="E22" s="14">
        <v>13002014</v>
      </c>
      <c r="F22" s="15">
        <f t="shared" si="3"/>
        <v>5545</v>
      </c>
      <c r="G22" s="14">
        <v>335</v>
      </c>
    </row>
    <row r="23" spans="1:7" ht="12.75">
      <c r="A23" s="20">
        <f t="shared" si="1"/>
        <v>43267</v>
      </c>
      <c r="B23" s="14">
        <v>259097127</v>
      </c>
      <c r="C23" s="14">
        <v>2275737</v>
      </c>
      <c r="D23" s="14">
        <f t="shared" si="0"/>
        <v>244508511</v>
      </c>
      <c r="E23" s="14">
        <v>12312879</v>
      </c>
      <c r="F23" s="15">
        <f t="shared" si="3"/>
        <v>5545</v>
      </c>
      <c r="G23" s="14">
        <f>_xlfn.IFERROR((E23/F23/7)," ")</f>
        <v>317.2196058224913</v>
      </c>
    </row>
    <row r="24" spans="1:7" ht="12.75">
      <c r="A24" s="20">
        <f t="shared" si="1"/>
        <v>43274</v>
      </c>
      <c r="B24" s="14">
        <v>261575309</v>
      </c>
      <c r="C24" s="14">
        <f>2444201-3720</f>
        <v>2440481</v>
      </c>
      <c r="D24" s="14">
        <f t="shared" si="0"/>
        <v>246223846</v>
      </c>
      <c r="E24" s="14">
        <v>12910982</v>
      </c>
      <c r="F24" s="15">
        <f t="shared" si="3"/>
        <v>5545</v>
      </c>
      <c r="G24" s="14">
        <f aca="true" t="shared" si="4" ref="G24:G63">_xlfn.IFERROR((E24/F24/7)," ")</f>
        <v>332.62867448151485</v>
      </c>
    </row>
    <row r="25" spans="1:7" ht="12.75">
      <c r="A25" s="20">
        <f t="shared" si="1"/>
        <v>43281</v>
      </c>
      <c r="B25" s="14">
        <v>266113928</v>
      </c>
      <c r="C25" s="14">
        <v>2444742</v>
      </c>
      <c r="D25" s="14">
        <f t="shared" si="0"/>
        <v>250500430</v>
      </c>
      <c r="E25" s="14">
        <v>13168756</v>
      </c>
      <c r="F25" s="15">
        <f aca="true" t="shared" si="5" ref="F25:F30">38815/7</f>
        <v>5545</v>
      </c>
      <c r="G25" s="14">
        <f t="shared" si="4"/>
        <v>339.26976684271546</v>
      </c>
    </row>
    <row r="26" spans="1:7" ht="12.75">
      <c r="A26" s="20">
        <f t="shared" si="1"/>
        <v>43288</v>
      </c>
      <c r="B26" s="14">
        <v>287422388</v>
      </c>
      <c r="C26" s="14">
        <v>2252913</v>
      </c>
      <c r="D26" s="14">
        <f t="shared" si="0"/>
        <v>270039055</v>
      </c>
      <c r="E26" s="14">
        <v>15130420</v>
      </c>
      <c r="F26" s="15">
        <f t="shared" si="5"/>
        <v>5545</v>
      </c>
      <c r="G26" s="14">
        <f t="shared" si="4"/>
        <v>389.80857915754217</v>
      </c>
    </row>
    <row r="27" spans="1:7" ht="12.75">
      <c r="A27" s="20">
        <f t="shared" si="1"/>
        <v>43295</v>
      </c>
      <c r="B27" s="14">
        <v>258827835</v>
      </c>
      <c r="C27" s="14">
        <v>2261833</v>
      </c>
      <c r="D27" s="14">
        <f t="shared" si="0"/>
        <v>243437400</v>
      </c>
      <c r="E27" s="14">
        <v>13128602</v>
      </c>
      <c r="F27" s="15">
        <f t="shared" si="5"/>
        <v>5545</v>
      </c>
      <c r="G27" s="14">
        <f t="shared" si="4"/>
        <v>338.23526986989566</v>
      </c>
    </row>
    <row r="28" spans="1:7" ht="12.75">
      <c r="A28" s="20">
        <f t="shared" si="1"/>
        <v>43302</v>
      </c>
      <c r="B28" s="14">
        <v>259626921</v>
      </c>
      <c r="C28" s="14">
        <v>2371503</v>
      </c>
      <c r="D28" s="14">
        <f t="shared" si="0"/>
        <v>244910155</v>
      </c>
      <c r="E28" s="14">
        <v>12345263</v>
      </c>
      <c r="F28" s="15">
        <f t="shared" si="5"/>
        <v>5545</v>
      </c>
      <c r="G28" s="14">
        <f t="shared" si="4"/>
        <v>318.05392245266006</v>
      </c>
    </row>
    <row r="29" spans="1:7" ht="12.75">
      <c r="A29" s="20">
        <f t="shared" si="1"/>
        <v>43309</v>
      </c>
      <c r="B29" s="14">
        <v>261266770</v>
      </c>
      <c r="C29" s="14">
        <f>2353674-5819</f>
        <v>2347855</v>
      </c>
      <c r="D29" s="14">
        <f t="shared" si="0"/>
        <v>246338309</v>
      </c>
      <c r="E29" s="14">
        <v>12580606</v>
      </c>
      <c r="F29" s="15">
        <f t="shared" si="5"/>
        <v>5545</v>
      </c>
      <c r="G29" s="14">
        <f t="shared" si="4"/>
        <v>324.1171196702306</v>
      </c>
    </row>
    <row r="30" spans="1:7" ht="12.75">
      <c r="A30" s="20">
        <f t="shared" si="1"/>
        <v>43316</v>
      </c>
      <c r="B30" s="14">
        <v>265142836</v>
      </c>
      <c r="C30" s="14">
        <v>2368180</v>
      </c>
      <c r="D30" s="14">
        <f t="shared" si="0"/>
        <v>249220171</v>
      </c>
      <c r="E30" s="14">
        <v>13554485</v>
      </c>
      <c r="F30" s="15">
        <f t="shared" si="5"/>
        <v>5545</v>
      </c>
      <c r="G30" s="14">
        <f t="shared" si="4"/>
        <v>349.2073940486925</v>
      </c>
    </row>
    <row r="31" spans="1:7" ht="12.75">
      <c r="A31" s="20">
        <f t="shared" si="1"/>
        <v>43323</v>
      </c>
      <c r="B31" s="14">
        <v>260769928</v>
      </c>
      <c r="C31" s="14">
        <v>2255518</v>
      </c>
      <c r="D31" s="14">
        <f t="shared" si="0"/>
        <v>245138421</v>
      </c>
      <c r="E31" s="14">
        <v>13375989</v>
      </c>
      <c r="F31" s="15">
        <f aca="true" t="shared" si="6" ref="F31:F36">38815/7</f>
        <v>5545</v>
      </c>
      <c r="G31" s="14">
        <f t="shared" si="4"/>
        <v>344.60875950019323</v>
      </c>
    </row>
    <row r="32" spans="1:7" ht="12.75">
      <c r="A32" s="20">
        <f t="shared" si="1"/>
        <v>43330</v>
      </c>
      <c r="B32" s="14">
        <v>264524090</v>
      </c>
      <c r="C32" s="14">
        <v>2318852</v>
      </c>
      <c r="D32" s="14">
        <f t="shared" si="0"/>
        <v>249339898</v>
      </c>
      <c r="E32" s="14">
        <v>12865340</v>
      </c>
      <c r="F32" s="15">
        <f t="shared" si="6"/>
        <v>5545</v>
      </c>
      <c r="G32" s="14">
        <f t="shared" si="4"/>
        <v>331.45278887028206</v>
      </c>
    </row>
    <row r="33" spans="1:7" ht="12.75">
      <c r="A33" s="20">
        <f t="shared" si="1"/>
        <v>43337</v>
      </c>
      <c r="B33" s="14">
        <v>262593369</v>
      </c>
      <c r="C33" s="14">
        <v>2302109</v>
      </c>
      <c r="D33" s="14">
        <f t="shared" si="0"/>
        <v>247473616</v>
      </c>
      <c r="E33" s="14">
        <v>12817644</v>
      </c>
      <c r="F33" s="15">
        <f t="shared" si="6"/>
        <v>5545</v>
      </c>
      <c r="G33" s="14">
        <f t="shared" si="4"/>
        <v>330.22398557258794</v>
      </c>
    </row>
    <row r="34" spans="1:7" ht="12.75">
      <c r="A34" s="20">
        <f t="shared" si="1"/>
        <v>43344</v>
      </c>
      <c r="B34" s="14">
        <v>269421150</v>
      </c>
      <c r="C34" s="14">
        <v>2515477</v>
      </c>
      <c r="D34" s="14">
        <f t="shared" si="0"/>
        <v>253465142</v>
      </c>
      <c r="E34" s="14">
        <v>13440531</v>
      </c>
      <c r="F34" s="15">
        <f t="shared" si="6"/>
        <v>5545</v>
      </c>
      <c r="G34" s="14">
        <f t="shared" si="4"/>
        <v>346.27157026922583</v>
      </c>
    </row>
    <row r="35" spans="1:7" ht="12.75">
      <c r="A35" s="20">
        <f t="shared" si="1"/>
        <v>43351</v>
      </c>
      <c r="B35" s="14">
        <v>269666660</v>
      </c>
      <c r="C35" s="14">
        <v>1999649</v>
      </c>
      <c r="D35" s="14">
        <f t="shared" si="0"/>
        <v>252981448</v>
      </c>
      <c r="E35" s="14">
        <v>14685563</v>
      </c>
      <c r="F35" s="15">
        <f t="shared" si="6"/>
        <v>5545</v>
      </c>
      <c r="G35" s="14">
        <f t="shared" si="4"/>
        <v>378.34762334149167</v>
      </c>
    </row>
    <row r="36" spans="1:7" ht="12.75">
      <c r="A36" s="20">
        <f t="shared" si="1"/>
        <v>43358</v>
      </c>
      <c r="B36" s="14">
        <v>257282334</v>
      </c>
      <c r="C36" s="14">
        <v>1918991</v>
      </c>
      <c r="D36" s="14">
        <f t="shared" si="0"/>
        <v>242609027</v>
      </c>
      <c r="E36" s="14">
        <v>12754316</v>
      </c>
      <c r="F36" s="15">
        <f t="shared" si="6"/>
        <v>5545</v>
      </c>
      <c r="G36" s="14">
        <f t="shared" si="4"/>
        <v>328.5924513718923</v>
      </c>
    </row>
    <row r="37" spans="1:7" ht="12.75">
      <c r="A37" s="20">
        <f t="shared" si="1"/>
        <v>43365</v>
      </c>
      <c r="B37" s="14">
        <v>251512766</v>
      </c>
      <c r="C37" s="14">
        <f>1999341-8915</f>
        <v>1990426</v>
      </c>
      <c r="D37" s="14">
        <f t="shared" si="0"/>
        <v>236291010</v>
      </c>
      <c r="E37" s="14">
        <v>13231330</v>
      </c>
      <c r="F37" s="15">
        <f aca="true" t="shared" si="7" ref="F37:F42">38815/7</f>
        <v>5545</v>
      </c>
      <c r="G37" s="14">
        <f t="shared" si="4"/>
        <v>340.88187556357076</v>
      </c>
    </row>
    <row r="38" spans="1:7" ht="12.75">
      <c r="A38" s="20">
        <f t="shared" si="1"/>
        <v>43372</v>
      </c>
      <c r="B38" s="14">
        <v>250012014.97999996</v>
      </c>
      <c r="C38" s="14">
        <v>1998510.3599999999</v>
      </c>
      <c r="D38" s="14">
        <f t="shared" si="0"/>
        <v>235045455.32999995</v>
      </c>
      <c r="E38" s="14">
        <v>12968049.29</v>
      </c>
      <c r="F38" s="15">
        <f t="shared" si="7"/>
        <v>5545</v>
      </c>
      <c r="G38" s="14">
        <f>_xlfn.IFERROR((E38/F38/7)," ")</f>
        <v>334.0989125338142</v>
      </c>
    </row>
    <row r="39" spans="1:7" ht="12.75">
      <c r="A39" s="20">
        <f t="shared" si="1"/>
        <v>43379</v>
      </c>
      <c r="B39" s="14">
        <v>260765299</v>
      </c>
      <c r="C39" s="14">
        <v>2108044</v>
      </c>
      <c r="D39" s="14">
        <f t="shared" si="0"/>
        <v>245516006</v>
      </c>
      <c r="E39" s="14">
        <v>13141249</v>
      </c>
      <c r="F39" s="15">
        <f t="shared" si="7"/>
        <v>5545</v>
      </c>
      <c r="G39" s="14">
        <f t="shared" si="4"/>
        <v>338.56109751384776</v>
      </c>
    </row>
    <row r="40" spans="1:7" ht="12.75">
      <c r="A40" s="20">
        <f t="shared" si="1"/>
        <v>43386</v>
      </c>
      <c r="B40" s="14">
        <v>265266469</v>
      </c>
      <c r="C40" s="14">
        <v>2118976</v>
      </c>
      <c r="D40" s="14">
        <f t="shared" si="0"/>
        <v>249732454</v>
      </c>
      <c r="E40" s="14">
        <v>13415039</v>
      </c>
      <c r="F40" s="15">
        <f t="shared" si="7"/>
        <v>5545</v>
      </c>
      <c r="G40" s="14">
        <f t="shared" si="4"/>
        <v>345.61481386062087</v>
      </c>
    </row>
    <row r="41" spans="1:7" ht="12.75">
      <c r="A41" s="20">
        <f t="shared" si="1"/>
        <v>43393</v>
      </c>
      <c r="B41" s="14">
        <v>248953943</v>
      </c>
      <c r="C41" s="14">
        <v>2130704</v>
      </c>
      <c r="D41" s="14">
        <f t="shared" si="0"/>
        <v>234420448</v>
      </c>
      <c r="E41" s="14">
        <v>12402791</v>
      </c>
      <c r="F41" s="15">
        <f t="shared" si="7"/>
        <v>5545</v>
      </c>
      <c r="G41" s="14">
        <f t="shared" si="4"/>
        <v>319.53602988535357</v>
      </c>
    </row>
    <row r="42" spans="1:7" ht="12.75">
      <c r="A42" s="20">
        <f t="shared" si="1"/>
        <v>43400</v>
      </c>
      <c r="B42" s="14">
        <v>245756776</v>
      </c>
      <c r="C42" s="14">
        <f>2113852-2445</f>
        <v>2111407</v>
      </c>
      <c r="D42" s="14">
        <f t="shared" si="0"/>
        <v>231757335</v>
      </c>
      <c r="E42" s="14">
        <v>11888034</v>
      </c>
      <c r="F42" s="15">
        <f t="shared" si="7"/>
        <v>5545</v>
      </c>
      <c r="G42" s="14">
        <f t="shared" si="4"/>
        <v>306.2742238825196</v>
      </c>
    </row>
    <row r="43" spans="1:7" ht="12.75">
      <c r="A43" s="20">
        <f t="shared" si="1"/>
        <v>43407</v>
      </c>
      <c r="B43" s="14">
        <v>266923805</v>
      </c>
      <c r="C43" s="14">
        <v>2290129</v>
      </c>
      <c r="D43" s="14">
        <f t="shared" si="0"/>
        <v>251705609</v>
      </c>
      <c r="E43" s="14">
        <v>12928067</v>
      </c>
      <c r="F43" s="15">
        <f>38815/7</f>
        <v>5545</v>
      </c>
      <c r="G43" s="14">
        <f t="shared" si="4"/>
        <v>333.0688393662244</v>
      </c>
    </row>
    <row r="44" spans="1:7" ht="12.75">
      <c r="A44" s="20">
        <f t="shared" si="1"/>
        <v>43414</v>
      </c>
      <c r="B44" s="14">
        <v>252416016</v>
      </c>
      <c r="C44" s="14">
        <v>1934545</v>
      </c>
      <c r="D44" s="14">
        <f t="shared" si="0"/>
        <v>237826729</v>
      </c>
      <c r="E44" s="14">
        <v>12654742</v>
      </c>
      <c r="F44" s="15">
        <f>38815/7</f>
        <v>5545</v>
      </c>
      <c r="G44" s="14">
        <f t="shared" si="4"/>
        <v>326.02710292412723</v>
      </c>
    </row>
    <row r="45" spans="1:7" ht="12.75">
      <c r="A45" s="20">
        <f aca="true" t="shared" si="8" ref="A45:A63">+A44+7</f>
        <v>43421</v>
      </c>
      <c r="B45" s="14">
        <v>234949297</v>
      </c>
      <c r="C45" s="14">
        <v>1853606</v>
      </c>
      <c r="D45" s="14">
        <f t="shared" si="0"/>
        <v>221262550</v>
      </c>
      <c r="E45" s="14">
        <v>11833141</v>
      </c>
      <c r="F45" s="15">
        <f>38640/7</f>
        <v>5520</v>
      </c>
      <c r="G45" s="14">
        <f t="shared" si="4"/>
        <v>306.2407091097308</v>
      </c>
    </row>
    <row r="46" spans="1:7" ht="12.75">
      <c r="A46" s="20">
        <f t="shared" si="8"/>
        <v>43428</v>
      </c>
      <c r="B46" s="14">
        <v>257556197</v>
      </c>
      <c r="C46" s="14">
        <v>2096237</v>
      </c>
      <c r="D46" s="14">
        <f t="shared" si="0"/>
        <v>242766167</v>
      </c>
      <c r="E46" s="14">
        <v>12693793</v>
      </c>
      <c r="F46" s="15">
        <f>38714/7</f>
        <v>5530.571428571428</v>
      </c>
      <c r="G46" s="14">
        <f t="shared" si="4"/>
        <v>327.88637185514284</v>
      </c>
    </row>
    <row r="47" spans="1:7" ht="12.75">
      <c r="A47" s="20">
        <f t="shared" si="8"/>
        <v>43435</v>
      </c>
      <c r="B47" s="14">
        <v>249960781</v>
      </c>
      <c r="C47" s="14">
        <v>2053753</v>
      </c>
      <c r="D47" s="14">
        <f t="shared" si="0"/>
        <v>234883145</v>
      </c>
      <c r="E47" s="14">
        <v>13023883</v>
      </c>
      <c r="F47" s="15">
        <f>38846/7</f>
        <v>5549.428571428572</v>
      </c>
      <c r="G47" s="14">
        <f t="shared" si="4"/>
        <v>335.26960304793283</v>
      </c>
    </row>
    <row r="48" spans="1:7" ht="12.75">
      <c r="A48" s="20">
        <f t="shared" si="8"/>
        <v>43442</v>
      </c>
      <c r="B48" s="14">
        <v>255945770.84</v>
      </c>
      <c r="C48" s="14">
        <v>2087681.39</v>
      </c>
      <c r="D48" s="14">
        <f t="shared" si="0"/>
        <v>241336723.91000003</v>
      </c>
      <c r="E48" s="14">
        <v>12521365.540000003</v>
      </c>
      <c r="F48" s="15">
        <f>38878/7</f>
        <v>5554</v>
      </c>
      <c r="G48" s="14">
        <f>_xlfn.IFERROR((E48/F48/7)," ")</f>
        <v>322.06815011060246</v>
      </c>
    </row>
    <row r="49" spans="1:7" ht="12.75">
      <c r="A49" s="20">
        <f t="shared" si="8"/>
        <v>43449</v>
      </c>
      <c r="B49" s="14">
        <v>246803557</v>
      </c>
      <c r="C49" s="14">
        <f>2132409-33120</f>
        <v>2099289</v>
      </c>
      <c r="D49" s="14">
        <f t="shared" si="0"/>
        <v>232541870</v>
      </c>
      <c r="E49" s="14">
        <v>12162398</v>
      </c>
      <c r="F49" s="15">
        <f>38878/7</f>
        <v>5554</v>
      </c>
      <c r="G49" s="14">
        <f t="shared" si="4"/>
        <v>312.83497093471885</v>
      </c>
    </row>
    <row r="50" spans="1:7" ht="12.75">
      <c r="A50" s="20">
        <f t="shared" si="8"/>
        <v>43456</v>
      </c>
      <c r="B50" s="14">
        <v>242737283</v>
      </c>
      <c r="C50" s="14">
        <v>2707675</v>
      </c>
      <c r="D50" s="14">
        <f t="shared" si="0"/>
        <v>228989883</v>
      </c>
      <c r="E50" s="14">
        <v>11039725</v>
      </c>
      <c r="F50" s="15">
        <f>38754/7</f>
        <v>5536.285714285715</v>
      </c>
      <c r="G50" s="14">
        <f t="shared" si="4"/>
        <v>284.8667234350002</v>
      </c>
    </row>
    <row r="51" spans="1:7" ht="12.75">
      <c r="A51" s="20">
        <f t="shared" si="8"/>
        <v>43463</v>
      </c>
      <c r="B51" s="14">
        <v>294100524</v>
      </c>
      <c r="C51" s="14">
        <v>2772747</v>
      </c>
      <c r="D51" s="14">
        <f t="shared" si="0"/>
        <v>276594231</v>
      </c>
      <c r="E51" s="14">
        <v>14733546</v>
      </c>
      <c r="F51" s="15">
        <f aca="true" t="shared" si="9" ref="F51:F56">39018/7</f>
        <v>5574</v>
      </c>
      <c r="G51" s="14">
        <f t="shared" si="4"/>
        <v>377.6089497155159</v>
      </c>
    </row>
    <row r="52" spans="1:7" ht="12.75">
      <c r="A52" s="20">
        <f t="shared" si="8"/>
        <v>43470</v>
      </c>
      <c r="B52" s="14">
        <v>297689146</v>
      </c>
      <c r="C52" s="14">
        <v>2657995</v>
      </c>
      <c r="D52" s="14">
        <f t="shared" si="0"/>
        <v>279981195</v>
      </c>
      <c r="E52" s="14">
        <v>15049956</v>
      </c>
      <c r="F52" s="15">
        <f t="shared" si="9"/>
        <v>5574</v>
      </c>
      <c r="G52" s="14">
        <f t="shared" si="4"/>
        <v>385.7182838689836</v>
      </c>
    </row>
    <row r="53" spans="1:7" ht="12.75">
      <c r="A53" s="20">
        <f t="shared" si="8"/>
        <v>43477</v>
      </c>
      <c r="B53" s="14">
        <v>264015928</v>
      </c>
      <c r="C53" s="14">
        <v>1992366</v>
      </c>
      <c r="D53" s="14">
        <f t="shared" si="0"/>
        <v>249077779</v>
      </c>
      <c r="E53" s="14">
        <v>12945783</v>
      </c>
      <c r="F53" s="15">
        <f t="shared" si="9"/>
        <v>5574</v>
      </c>
      <c r="G53" s="14">
        <f t="shared" si="4"/>
        <v>331.7900199907735</v>
      </c>
    </row>
    <row r="54" spans="1:7" ht="12.75">
      <c r="A54" s="20">
        <f t="shared" si="8"/>
        <v>43484</v>
      </c>
      <c r="B54" s="14">
        <v>254137829</v>
      </c>
      <c r="C54" s="14">
        <v>2077214</v>
      </c>
      <c r="D54" s="14">
        <f t="shared" si="0"/>
        <v>239609347</v>
      </c>
      <c r="E54" s="14">
        <v>12451268</v>
      </c>
      <c r="F54" s="15">
        <f t="shared" si="9"/>
        <v>5574</v>
      </c>
      <c r="G54" s="14">
        <f t="shared" si="4"/>
        <v>319.11599774463065</v>
      </c>
    </row>
    <row r="55" spans="1:7" ht="12.75">
      <c r="A55" s="20">
        <f t="shared" si="8"/>
        <v>43491</v>
      </c>
      <c r="B55" s="14">
        <v>263655308</v>
      </c>
      <c r="C55" s="14">
        <v>2079490</v>
      </c>
      <c r="D55" s="14">
        <f t="shared" si="0"/>
        <v>248338703</v>
      </c>
      <c r="E55" s="14">
        <v>13237115</v>
      </c>
      <c r="F55" s="15">
        <f t="shared" si="9"/>
        <v>5574</v>
      </c>
      <c r="G55" s="14">
        <f t="shared" si="4"/>
        <v>339.25662514736786</v>
      </c>
    </row>
    <row r="56" spans="1:7" ht="12.75">
      <c r="A56" s="20">
        <f t="shared" si="8"/>
        <v>43498</v>
      </c>
      <c r="B56" s="14">
        <v>253830723</v>
      </c>
      <c r="C56" s="14">
        <v>2325328</v>
      </c>
      <c r="D56" s="14">
        <f t="shared" si="0"/>
        <v>239459943</v>
      </c>
      <c r="E56" s="14">
        <v>12045452</v>
      </c>
      <c r="F56" s="15">
        <f t="shared" si="9"/>
        <v>5574</v>
      </c>
      <c r="G56" s="14">
        <f t="shared" si="4"/>
        <v>308.71525962376336</v>
      </c>
    </row>
    <row r="57" spans="1:7" ht="12.75">
      <c r="A57" s="20">
        <f t="shared" si="8"/>
        <v>43505</v>
      </c>
      <c r="B57" s="14">
        <v>283205173</v>
      </c>
      <c r="C57" s="14">
        <v>2152594</v>
      </c>
      <c r="D57" s="14">
        <f t="shared" si="0"/>
        <v>266477655</v>
      </c>
      <c r="E57" s="14">
        <v>14574924</v>
      </c>
      <c r="F57" s="15">
        <f>39006/7</f>
        <v>5572.285714285715</v>
      </c>
      <c r="G57" s="14">
        <f t="shared" si="4"/>
        <v>373.65851407475765</v>
      </c>
    </row>
    <row r="58" spans="1:7" ht="12.75">
      <c r="A58" s="20">
        <f t="shared" si="8"/>
        <v>43512</v>
      </c>
      <c r="B58" s="14">
        <v>269222134</v>
      </c>
      <c r="C58" s="14">
        <f>2111638-769341</f>
        <v>1342297</v>
      </c>
      <c r="D58" s="14">
        <f t="shared" si="0"/>
        <v>253478262</v>
      </c>
      <c r="E58" s="14">
        <v>14401575</v>
      </c>
      <c r="F58" s="15">
        <f>38903/7</f>
        <v>5557.571428571428</v>
      </c>
      <c r="G58" s="14">
        <f t="shared" si="4"/>
        <v>370.1918875151017</v>
      </c>
    </row>
    <row r="59" spans="1:7" ht="12.75">
      <c r="A59" s="20">
        <f t="shared" si="8"/>
        <v>43519</v>
      </c>
      <c r="B59" s="14">
        <v>282460097</v>
      </c>
      <c r="C59" s="14">
        <v>2309903</v>
      </c>
      <c r="D59" s="14">
        <f t="shared" si="0"/>
        <v>266327084</v>
      </c>
      <c r="E59" s="14">
        <v>13823110</v>
      </c>
      <c r="F59" s="15">
        <f>38787/7</f>
        <v>5541</v>
      </c>
      <c r="G59" s="14">
        <f t="shared" si="4"/>
        <v>356.38512903807975</v>
      </c>
    </row>
    <row r="60" spans="1:7" ht="12.75">
      <c r="A60" s="20">
        <f t="shared" si="8"/>
        <v>43526</v>
      </c>
      <c r="B60" s="14">
        <v>290849115</v>
      </c>
      <c r="C60" s="14">
        <v>2457500</v>
      </c>
      <c r="D60" s="14">
        <f t="shared" si="0"/>
        <v>273976599</v>
      </c>
      <c r="E60" s="14">
        <v>14415016</v>
      </c>
      <c r="F60" s="15">
        <f>38787/7</f>
        <v>5541</v>
      </c>
      <c r="G60" s="14">
        <f t="shared" si="4"/>
        <v>371.64555134452263</v>
      </c>
    </row>
    <row r="61" spans="1:7" ht="12.75">
      <c r="A61" s="20">
        <f t="shared" si="8"/>
        <v>43533</v>
      </c>
      <c r="B61" s="14">
        <v>280076004</v>
      </c>
      <c r="C61" s="14">
        <v>2202168</v>
      </c>
      <c r="D61" s="14">
        <f t="shared" si="0"/>
        <v>263388328</v>
      </c>
      <c r="E61" s="14">
        <v>14485508</v>
      </c>
      <c r="F61" s="15">
        <f>38787/7</f>
        <v>5541</v>
      </c>
      <c r="G61" s="14">
        <f t="shared" si="4"/>
        <v>373.4629643952871</v>
      </c>
    </row>
    <row r="62" spans="1:7" ht="12.75">
      <c r="A62" s="20">
        <f t="shared" si="8"/>
        <v>43540</v>
      </c>
      <c r="B62" s="14">
        <v>282318293</v>
      </c>
      <c r="C62" s="14">
        <v>2362806</v>
      </c>
      <c r="D62" s="14">
        <f t="shared" si="0"/>
        <v>265622318</v>
      </c>
      <c r="E62" s="14">
        <v>14333169</v>
      </c>
      <c r="F62" s="15">
        <f>38787/7</f>
        <v>5541</v>
      </c>
      <c r="G62" s="14">
        <f t="shared" si="4"/>
        <v>369.5353855673293</v>
      </c>
    </row>
    <row r="63" spans="1:7" ht="12.75">
      <c r="A63" s="20">
        <f t="shared" si="8"/>
        <v>43547</v>
      </c>
      <c r="B63" s="14">
        <v>286203290</v>
      </c>
      <c r="C63" s="14">
        <v>2450569</v>
      </c>
      <c r="D63" s="14">
        <f t="shared" si="0"/>
        <v>270014259</v>
      </c>
      <c r="E63" s="14">
        <v>13738462</v>
      </c>
      <c r="F63" s="15">
        <f>38787/7</f>
        <v>5541</v>
      </c>
      <c r="G63" s="14">
        <f t="shared" si="4"/>
        <v>354.20274834351716</v>
      </c>
    </row>
    <row r="64" ht="12.75">
      <c r="A64" s="20"/>
    </row>
    <row r="65" spans="1:7" s="19" customFormat="1" ht="13.5" thickBot="1">
      <c r="A65" s="2" t="s">
        <v>8</v>
      </c>
      <c r="B65" s="16">
        <f>SUM(B12:B64)</f>
        <v>13901708762.82</v>
      </c>
      <c r="C65" s="16">
        <f>SUM(C12:C64)</f>
        <v>117293031.75</v>
      </c>
      <c r="D65" s="16">
        <f>SUM(D12:D64)</f>
        <v>13089315397.24</v>
      </c>
      <c r="E65" s="16">
        <f>SUM(E12:E64)</f>
        <v>695100333.83</v>
      </c>
      <c r="F65" s="21">
        <f>SUM(F12:F64)/COUNT(F12:F64)</f>
        <v>5548.233516483516</v>
      </c>
      <c r="G65" s="16">
        <f>+E65/SUM(F12:F64)/7</f>
        <v>344.18455821251894</v>
      </c>
    </row>
    <row r="66" spans="1:7" ht="13.5" thickTop="1">
      <c r="A66" s="17"/>
      <c r="B66" s="18"/>
      <c r="C66" s="18"/>
      <c r="D66" s="18"/>
      <c r="E66" s="18"/>
      <c r="F66" s="19"/>
      <c r="G66" s="19"/>
    </row>
  </sheetData>
  <sheetProtection/>
  <mergeCells count="6">
    <mergeCell ref="A7:G7"/>
    <mergeCell ref="A1:G1"/>
    <mergeCell ref="A2:G2"/>
    <mergeCell ref="A3:G3"/>
    <mergeCell ref="A4:G4"/>
    <mergeCell ref="C5:D5"/>
  </mergeCells>
  <hyperlinks>
    <hyperlink ref="A4" r:id="rId1" display="www.rwnewyork.com"/>
  </hyperlinks>
  <printOptions horizontalCentered="1"/>
  <pageMargins left="0" right="0" top="0.5" bottom="0.25" header="0.5" footer="0.5"/>
  <pageSetup fitToHeight="1" fitToWidth="1" horizontalDpi="600" verticalDpi="600" orientation="portrait" scale="88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zoomScalePageLayoutView="0" workbookViewId="0" topLeftCell="A1">
      <pane ySplit="10" topLeftCell="A53" activePane="bottomLeft" state="frozen"/>
      <selection pane="topLeft" activeCell="A1" sqref="A1"/>
      <selection pane="bottomLeft" activeCell="B68" sqref="B68"/>
    </sheetView>
  </sheetViews>
  <sheetFormatPr defaultColWidth="9.140625" defaultRowHeight="12.75"/>
  <cols>
    <col min="1" max="1" width="15.7109375" style="2" customWidth="1"/>
    <col min="2" max="3" width="16.28125" style="14" customWidth="1"/>
    <col min="4" max="4" width="15.7109375" style="14" customWidth="1"/>
    <col min="5" max="5" width="15.00390625" style="14" customWidth="1"/>
    <col min="6" max="6" width="10.140625" style="15" customWidth="1"/>
    <col min="7" max="7" width="11.57421875" style="14" customWidth="1"/>
  </cols>
  <sheetData>
    <row r="1" spans="1:7" ht="26.25" customHeight="1">
      <c r="A1" s="28" t="s">
        <v>16</v>
      </c>
      <c r="B1" s="28"/>
      <c r="C1" s="28"/>
      <c r="D1" s="28"/>
      <c r="E1" s="28"/>
      <c r="F1" s="28"/>
      <c r="G1" s="28"/>
    </row>
    <row r="2" spans="1:7" ht="15">
      <c r="A2" s="29" t="s">
        <v>12</v>
      </c>
      <c r="B2" s="29"/>
      <c r="C2" s="29"/>
      <c r="D2" s="29"/>
      <c r="E2" s="29"/>
      <c r="F2" s="29"/>
      <c r="G2" s="29"/>
    </row>
    <row r="3" spans="1:7" s="1" customFormat="1" ht="15">
      <c r="A3" s="29" t="s">
        <v>13</v>
      </c>
      <c r="B3" s="29"/>
      <c r="C3" s="29"/>
      <c r="D3" s="29"/>
      <c r="E3" s="29"/>
      <c r="F3" s="29"/>
      <c r="G3" s="29"/>
    </row>
    <row r="4" spans="1:7" s="1" customFormat="1" ht="15">
      <c r="A4" s="30" t="s">
        <v>14</v>
      </c>
      <c r="B4" s="30"/>
      <c r="C4" s="30"/>
      <c r="D4" s="30"/>
      <c r="E4" s="30"/>
      <c r="F4" s="30"/>
      <c r="G4" s="30"/>
    </row>
    <row r="5" spans="1:7" s="1" customFormat="1" ht="14.25">
      <c r="A5" s="23"/>
      <c r="B5" s="22"/>
      <c r="C5" s="31" t="s">
        <v>15</v>
      </c>
      <c r="D5" s="31"/>
      <c r="E5" s="22"/>
      <c r="F5" s="22"/>
      <c r="G5" s="22"/>
    </row>
    <row r="6" spans="1:7" s="6" customFormat="1" ht="8.25" customHeight="1">
      <c r="A6" s="2"/>
      <c r="B6" s="3"/>
      <c r="C6" s="3"/>
      <c r="D6" s="3"/>
      <c r="E6" s="4"/>
      <c r="F6" s="5"/>
      <c r="G6" s="4"/>
    </row>
    <row r="7" spans="1:7" s="1" customFormat="1" ht="12" customHeight="1">
      <c r="A7" s="32" t="s">
        <v>23</v>
      </c>
      <c r="B7" s="33"/>
      <c r="C7" s="33"/>
      <c r="D7" s="33"/>
      <c r="E7" s="33"/>
      <c r="F7" s="33"/>
      <c r="G7" s="34"/>
    </row>
    <row r="8" spans="1:7" s="11" customFormat="1" ht="12.75">
      <c r="A8" s="2"/>
      <c r="B8" s="3"/>
      <c r="C8" s="3"/>
      <c r="D8" s="3"/>
      <c r="E8" s="4"/>
      <c r="F8" s="5"/>
      <c r="G8" s="4"/>
    </row>
    <row r="9" spans="1:7" s="11" customFormat="1" ht="12">
      <c r="A9" s="8"/>
      <c r="B9" s="9" t="s">
        <v>0</v>
      </c>
      <c r="C9" s="9" t="s">
        <v>11</v>
      </c>
      <c r="D9" s="9" t="s">
        <v>0</v>
      </c>
      <c r="E9" s="9"/>
      <c r="F9" s="10" t="s">
        <v>1</v>
      </c>
      <c r="G9" s="9" t="s">
        <v>2</v>
      </c>
    </row>
    <row r="10" spans="1:7" ht="12.75">
      <c r="A10" s="12" t="s">
        <v>9</v>
      </c>
      <c r="B10" s="7" t="s">
        <v>3</v>
      </c>
      <c r="C10" s="7" t="s">
        <v>18</v>
      </c>
      <c r="D10" s="7" t="s">
        <v>4</v>
      </c>
      <c r="E10" s="7" t="s">
        <v>5</v>
      </c>
      <c r="F10" s="13" t="s">
        <v>6</v>
      </c>
      <c r="G10" s="7" t="s">
        <v>7</v>
      </c>
    </row>
    <row r="12" spans="1:7" ht="12.75">
      <c r="A12" s="20">
        <v>42826</v>
      </c>
      <c r="B12" s="14">
        <v>290556597</v>
      </c>
      <c r="C12" s="14">
        <v>2549565.19</v>
      </c>
      <c r="D12" s="14">
        <f>B12-C12-E12</f>
        <v>273408154.37</v>
      </c>
      <c r="E12" s="14">
        <f>14591747+7130.44</f>
        <v>14598877.44</v>
      </c>
      <c r="F12" s="15">
        <f aca="true" t="shared" si="0" ref="F12:F17">35679/7</f>
        <v>5097</v>
      </c>
      <c r="G12" s="14">
        <v>409</v>
      </c>
    </row>
    <row r="13" spans="1:7" ht="12.75">
      <c r="A13" s="20">
        <f aca="true" t="shared" si="1" ref="A13:A63">+A12+7</f>
        <v>42833</v>
      </c>
      <c r="B13" s="14">
        <v>291110449</v>
      </c>
      <c r="C13" s="14">
        <v>2396610.47</v>
      </c>
      <c r="D13" s="14">
        <f>IF(ISBLANK(B13),"",B13-C13-E13)</f>
        <v>274236092.53</v>
      </c>
      <c r="E13" s="14">
        <v>14477746</v>
      </c>
      <c r="F13" s="15">
        <f t="shared" si="0"/>
        <v>5097</v>
      </c>
      <c r="G13" s="14">
        <v>406</v>
      </c>
    </row>
    <row r="14" spans="1:7" ht="12.75">
      <c r="A14" s="20">
        <f t="shared" si="1"/>
        <v>42840</v>
      </c>
      <c r="B14" s="14">
        <v>283049467</v>
      </c>
      <c r="C14" s="14">
        <v>2212196.12</v>
      </c>
      <c r="D14" s="14">
        <f aca="true" t="shared" si="2" ref="D14:D63">IF(ISBLANK(B14),"",B14-C14-E14)</f>
        <v>266556772.88</v>
      </c>
      <c r="E14" s="14">
        <v>14280498</v>
      </c>
      <c r="F14" s="15">
        <f t="shared" si="0"/>
        <v>5097</v>
      </c>
      <c r="G14" s="14">
        <v>400</v>
      </c>
    </row>
    <row r="15" spans="1:7" ht="12.75">
      <c r="A15" s="20">
        <f t="shared" si="1"/>
        <v>42847</v>
      </c>
      <c r="B15" s="14">
        <v>288073391</v>
      </c>
      <c r="C15" s="14">
        <v>2382533.89</v>
      </c>
      <c r="D15" s="14">
        <f t="shared" si="2"/>
        <v>271364796.11</v>
      </c>
      <c r="E15" s="14">
        <v>14326061</v>
      </c>
      <c r="F15" s="15">
        <f t="shared" si="0"/>
        <v>5097</v>
      </c>
      <c r="G15" s="14">
        <v>402</v>
      </c>
    </row>
    <row r="16" spans="1:7" ht="12.75">
      <c r="A16" s="20">
        <f t="shared" si="1"/>
        <v>42854</v>
      </c>
      <c r="B16" s="14">
        <v>285481342</v>
      </c>
      <c r="C16" s="14">
        <v>2435531.64</v>
      </c>
      <c r="D16" s="14">
        <f t="shared" si="2"/>
        <v>268546755.36</v>
      </c>
      <c r="E16" s="14">
        <v>14499055</v>
      </c>
      <c r="F16" s="15">
        <f t="shared" si="0"/>
        <v>5097</v>
      </c>
      <c r="G16" s="14">
        <v>406</v>
      </c>
    </row>
    <row r="17" spans="1:7" ht="12.75">
      <c r="A17" s="20">
        <f t="shared" si="1"/>
        <v>42861</v>
      </c>
      <c r="B17" s="14">
        <v>288486124</v>
      </c>
      <c r="C17" s="14">
        <v>2271392.98</v>
      </c>
      <c r="D17" s="14">
        <f t="shared" si="2"/>
        <v>271093172.02</v>
      </c>
      <c r="E17" s="14">
        <v>15121559</v>
      </c>
      <c r="F17" s="15">
        <f t="shared" si="0"/>
        <v>5097</v>
      </c>
      <c r="G17" s="14">
        <v>424</v>
      </c>
    </row>
    <row r="18" spans="1:7" ht="12.75">
      <c r="A18" s="20">
        <f t="shared" si="1"/>
        <v>42868</v>
      </c>
      <c r="B18" s="14">
        <v>271166650</v>
      </c>
      <c r="C18" s="14">
        <f>2355941.2-18847</f>
        <v>2337094.2</v>
      </c>
      <c r="D18" s="14">
        <f t="shared" si="2"/>
        <v>254688654.8</v>
      </c>
      <c r="E18" s="14">
        <v>14140901</v>
      </c>
      <c r="F18" s="15">
        <f>35571/7</f>
        <v>5081.571428571428</v>
      </c>
      <c r="G18" s="14">
        <v>398</v>
      </c>
    </row>
    <row r="19" spans="1:7" ht="12.75">
      <c r="A19" s="20">
        <f t="shared" si="1"/>
        <v>42875</v>
      </c>
      <c r="B19" s="14">
        <v>277503453</v>
      </c>
      <c r="C19" s="14">
        <v>2555429.58</v>
      </c>
      <c r="D19" s="14">
        <f t="shared" si="2"/>
        <v>260928525.42000002</v>
      </c>
      <c r="E19" s="14">
        <v>14019498</v>
      </c>
      <c r="F19" s="15">
        <f>35205/7</f>
        <v>5029.285714285715</v>
      </c>
      <c r="G19" s="14">
        <v>398</v>
      </c>
    </row>
    <row r="20" spans="1:7" ht="12.75">
      <c r="A20" s="20">
        <f t="shared" si="1"/>
        <v>42882</v>
      </c>
      <c r="B20" s="14">
        <v>276897497</v>
      </c>
      <c r="C20" s="14">
        <v>2449596.53</v>
      </c>
      <c r="D20" s="14">
        <f t="shared" si="2"/>
        <v>261088576.47000003</v>
      </c>
      <c r="E20" s="14">
        <v>13359324</v>
      </c>
      <c r="F20" s="15">
        <f>35337/7</f>
        <v>5048.142857142857</v>
      </c>
      <c r="G20" s="14">
        <v>378</v>
      </c>
    </row>
    <row r="21" spans="1:7" ht="12.75">
      <c r="A21" s="20">
        <f t="shared" si="1"/>
        <v>42889</v>
      </c>
      <c r="B21" s="14">
        <v>291326582</v>
      </c>
      <c r="C21" s="14">
        <v>2562462.36</v>
      </c>
      <c r="D21" s="14">
        <f t="shared" si="2"/>
        <v>273694387.64</v>
      </c>
      <c r="E21" s="14">
        <v>15069732</v>
      </c>
      <c r="F21" s="15">
        <f>35820/7</f>
        <v>5117.142857142857</v>
      </c>
      <c r="G21" s="14">
        <v>421</v>
      </c>
    </row>
    <row r="22" spans="1:7" ht="12.75">
      <c r="A22" s="20">
        <f t="shared" si="1"/>
        <v>42896</v>
      </c>
      <c r="B22" s="14">
        <v>264022371</v>
      </c>
      <c r="C22" s="14">
        <v>2027045.13</v>
      </c>
      <c r="D22" s="14">
        <f t="shared" si="2"/>
        <v>249050474.87</v>
      </c>
      <c r="E22" s="14">
        <v>12944851</v>
      </c>
      <c r="F22" s="15">
        <f>35727/7</f>
        <v>5103.857142857143</v>
      </c>
      <c r="G22" s="14">
        <v>362</v>
      </c>
    </row>
    <row r="23" spans="1:7" ht="12.75">
      <c r="A23" s="20">
        <f t="shared" si="1"/>
        <v>42903</v>
      </c>
      <c r="B23" s="14">
        <v>256989718</v>
      </c>
      <c r="C23" s="14">
        <v>2073649.27</v>
      </c>
      <c r="D23" s="14">
        <f t="shared" si="2"/>
        <v>241408490.73</v>
      </c>
      <c r="E23" s="14">
        <v>13507578</v>
      </c>
      <c r="F23" s="15">
        <f>35665/7</f>
        <v>5095</v>
      </c>
      <c r="G23" s="14">
        <v>379</v>
      </c>
    </row>
    <row r="24" spans="1:7" ht="12.75">
      <c r="A24" s="20">
        <f t="shared" si="1"/>
        <v>42910</v>
      </c>
      <c r="B24" s="14">
        <v>252381628</v>
      </c>
      <c r="C24" s="14">
        <v>2137117.28</v>
      </c>
      <c r="D24" s="14">
        <f t="shared" si="2"/>
        <v>238249310.72</v>
      </c>
      <c r="E24" s="14">
        <v>11995200</v>
      </c>
      <c r="F24" s="15">
        <f>35759/7</f>
        <v>5108.428571428572</v>
      </c>
      <c r="G24" s="14">
        <v>335</v>
      </c>
    </row>
    <row r="25" spans="1:7" ht="12.75">
      <c r="A25" s="20">
        <f t="shared" si="1"/>
        <v>42917</v>
      </c>
      <c r="B25" s="14">
        <v>265849136</v>
      </c>
      <c r="C25" s="14">
        <v>2274200.72</v>
      </c>
      <c r="D25" s="14">
        <f t="shared" si="2"/>
        <v>250100473.28</v>
      </c>
      <c r="E25" s="14">
        <v>13474462</v>
      </c>
      <c r="F25" s="15">
        <f aca="true" t="shared" si="3" ref="F25:F30">36029/7</f>
        <v>5147</v>
      </c>
      <c r="G25" s="14">
        <v>374</v>
      </c>
    </row>
    <row r="26" spans="1:7" ht="12.75">
      <c r="A26" s="20">
        <f t="shared" si="1"/>
        <v>42924</v>
      </c>
      <c r="B26" s="14">
        <v>292215906</v>
      </c>
      <c r="C26" s="14">
        <v>2524420.22</v>
      </c>
      <c r="D26" s="14">
        <f t="shared" si="2"/>
        <v>274764819.78</v>
      </c>
      <c r="E26" s="14">
        <v>14926666</v>
      </c>
      <c r="F26" s="15">
        <f t="shared" si="3"/>
        <v>5147</v>
      </c>
      <c r="G26" s="14">
        <v>414</v>
      </c>
    </row>
    <row r="27" spans="1:7" ht="12.75">
      <c r="A27" s="20">
        <f t="shared" si="1"/>
        <v>42931</v>
      </c>
      <c r="B27" s="14">
        <v>270051094</v>
      </c>
      <c r="C27" s="14">
        <v>2249266.92</v>
      </c>
      <c r="D27" s="14">
        <f t="shared" si="2"/>
        <v>254580564.08</v>
      </c>
      <c r="E27" s="14">
        <v>13221263</v>
      </c>
      <c r="F27" s="15">
        <f t="shared" si="3"/>
        <v>5147</v>
      </c>
      <c r="G27" s="14">
        <v>367</v>
      </c>
    </row>
    <row r="28" spans="1:7" ht="12.75">
      <c r="A28" s="20">
        <f t="shared" si="1"/>
        <v>42938</v>
      </c>
      <c r="B28" s="14">
        <v>262819889</v>
      </c>
      <c r="C28" s="14">
        <v>2227399.67</v>
      </c>
      <c r="D28" s="14">
        <f t="shared" si="2"/>
        <v>248465791.33</v>
      </c>
      <c r="E28" s="14">
        <v>12126698</v>
      </c>
      <c r="F28" s="15">
        <f t="shared" si="3"/>
        <v>5147</v>
      </c>
      <c r="G28" s="14">
        <v>337</v>
      </c>
    </row>
    <row r="29" spans="1:7" ht="12.75">
      <c r="A29" s="20">
        <f t="shared" si="1"/>
        <v>42945</v>
      </c>
      <c r="B29" s="14">
        <v>269247265</v>
      </c>
      <c r="C29" s="14">
        <v>2299089.67</v>
      </c>
      <c r="D29" s="14">
        <f t="shared" si="2"/>
        <v>253286652.33</v>
      </c>
      <c r="E29" s="14">
        <v>13661523</v>
      </c>
      <c r="F29" s="15">
        <f t="shared" si="3"/>
        <v>5147</v>
      </c>
      <c r="G29" s="14">
        <v>379</v>
      </c>
    </row>
    <row r="30" spans="1:7" ht="12.75">
      <c r="A30" s="20">
        <f t="shared" si="1"/>
        <v>42952</v>
      </c>
      <c r="B30" s="14">
        <v>267563479</v>
      </c>
      <c r="C30" s="14">
        <v>1911861.81</v>
      </c>
      <c r="D30" s="14">
        <f t="shared" si="2"/>
        <v>251838758.19</v>
      </c>
      <c r="E30" s="14">
        <v>13812859</v>
      </c>
      <c r="F30" s="15">
        <f t="shared" si="3"/>
        <v>5147</v>
      </c>
      <c r="G30" s="14">
        <v>383</v>
      </c>
    </row>
    <row r="31" spans="1:7" ht="12.75">
      <c r="A31" s="20">
        <f t="shared" si="1"/>
        <v>42959</v>
      </c>
      <c r="B31" s="14">
        <v>265704634</v>
      </c>
      <c r="C31" s="14">
        <v>2224403</v>
      </c>
      <c r="D31" s="14">
        <f t="shared" si="2"/>
        <v>250257673</v>
      </c>
      <c r="E31" s="14">
        <v>13222558</v>
      </c>
      <c r="F31" s="15">
        <v>5147</v>
      </c>
      <c r="G31" s="14">
        <v>367</v>
      </c>
    </row>
    <row r="32" spans="1:7" ht="12.75">
      <c r="A32" s="20">
        <f t="shared" si="1"/>
        <v>42966</v>
      </c>
      <c r="B32" s="14">
        <v>266783059</v>
      </c>
      <c r="C32" s="14">
        <f>2577701-31635</f>
        <v>2546066</v>
      </c>
      <c r="D32" s="14">
        <f t="shared" si="2"/>
        <v>251181110</v>
      </c>
      <c r="E32" s="14">
        <v>13055883</v>
      </c>
      <c r="F32" s="15">
        <f>36124/7</f>
        <v>5160.571428571428</v>
      </c>
      <c r="G32" s="14">
        <v>361</v>
      </c>
    </row>
    <row r="33" spans="1:7" ht="12.75">
      <c r="A33" s="20">
        <f t="shared" si="1"/>
        <v>42973</v>
      </c>
      <c r="B33" s="14">
        <v>251475396</v>
      </c>
      <c r="C33" s="14">
        <v>2307583</v>
      </c>
      <c r="D33" s="14">
        <f t="shared" si="2"/>
        <v>237038087</v>
      </c>
      <c r="E33" s="14">
        <v>12129726</v>
      </c>
      <c r="F33" s="15">
        <f>36246/7</f>
        <v>5178</v>
      </c>
      <c r="G33" s="14">
        <v>335</v>
      </c>
    </row>
    <row r="34" spans="1:7" ht="12.75">
      <c r="A34" s="20">
        <f t="shared" si="1"/>
        <v>42980</v>
      </c>
      <c r="B34" s="14">
        <v>254967866</v>
      </c>
      <c r="C34" s="14">
        <v>2250197</v>
      </c>
      <c r="D34" s="14">
        <f t="shared" si="2"/>
        <v>239157049</v>
      </c>
      <c r="E34" s="14">
        <v>13560620</v>
      </c>
      <c r="F34" s="15">
        <f>36384/7</f>
        <v>5197.714285714285</v>
      </c>
      <c r="G34" s="14">
        <v>373</v>
      </c>
    </row>
    <row r="35" spans="1:7" ht="12.75">
      <c r="A35" s="20">
        <f t="shared" si="1"/>
        <v>42987</v>
      </c>
      <c r="B35" s="14">
        <v>268788501</v>
      </c>
      <c r="C35" s="14">
        <v>1850464</v>
      </c>
      <c r="D35" s="14">
        <f t="shared" si="2"/>
        <v>252839197</v>
      </c>
      <c r="E35" s="14">
        <v>14098840</v>
      </c>
      <c r="F35" s="15">
        <f>36483/7</f>
        <v>5211.857142857143</v>
      </c>
      <c r="G35" s="14">
        <v>386</v>
      </c>
    </row>
    <row r="36" spans="1:7" ht="12.75">
      <c r="A36" s="20">
        <f t="shared" si="1"/>
        <v>42994</v>
      </c>
      <c r="B36" s="14">
        <v>248644607</v>
      </c>
      <c r="C36" s="14">
        <v>1812746</v>
      </c>
      <c r="D36" s="14">
        <f t="shared" si="2"/>
        <v>234298407</v>
      </c>
      <c r="E36" s="14">
        <v>12533454</v>
      </c>
      <c r="F36" s="15">
        <f aca="true" t="shared" si="4" ref="F36:F41">36477/7</f>
        <v>5211</v>
      </c>
      <c r="G36" s="14">
        <v>344</v>
      </c>
    </row>
    <row r="37" spans="1:7" ht="12.75">
      <c r="A37" s="20">
        <f t="shared" si="1"/>
        <v>43001</v>
      </c>
      <c r="B37" s="14">
        <v>258413678</v>
      </c>
      <c r="C37" s="14">
        <f>1883500-18710</f>
        <v>1864790</v>
      </c>
      <c r="D37" s="14">
        <f t="shared" si="2"/>
        <v>243085045</v>
      </c>
      <c r="E37" s="14">
        <v>13463843</v>
      </c>
      <c r="F37" s="15">
        <f t="shared" si="4"/>
        <v>5211</v>
      </c>
      <c r="G37" s="14">
        <v>369</v>
      </c>
    </row>
    <row r="38" spans="1:7" ht="12.75">
      <c r="A38" s="20">
        <f t="shared" si="1"/>
        <v>43008</v>
      </c>
      <c r="B38" s="14">
        <v>255272065</v>
      </c>
      <c r="C38" s="14">
        <v>1842147</v>
      </c>
      <c r="D38" s="14">
        <f t="shared" si="2"/>
        <v>240067590</v>
      </c>
      <c r="E38" s="14">
        <v>13362328</v>
      </c>
      <c r="F38" s="24">
        <f t="shared" si="4"/>
        <v>5211</v>
      </c>
      <c r="G38" s="14">
        <v>366</v>
      </c>
    </row>
    <row r="39" spans="1:7" ht="12.75">
      <c r="A39" s="20">
        <f t="shared" si="1"/>
        <v>43015</v>
      </c>
      <c r="B39" s="14">
        <v>256040130</v>
      </c>
      <c r="C39" s="14">
        <v>1540390</v>
      </c>
      <c r="D39" s="14">
        <f t="shared" si="2"/>
        <v>241074056</v>
      </c>
      <c r="E39" s="14">
        <v>13425684</v>
      </c>
      <c r="F39" s="15">
        <f t="shared" si="4"/>
        <v>5211</v>
      </c>
      <c r="G39" s="14">
        <v>368</v>
      </c>
    </row>
    <row r="40" spans="1:7" ht="12.75">
      <c r="A40" s="20">
        <f t="shared" si="1"/>
        <v>43022</v>
      </c>
      <c r="B40" s="14">
        <v>259577708</v>
      </c>
      <c r="C40" s="14">
        <v>1920603</v>
      </c>
      <c r="D40" s="14">
        <f t="shared" si="2"/>
        <v>243943590</v>
      </c>
      <c r="E40" s="14">
        <v>13713515</v>
      </c>
      <c r="F40" s="15">
        <f t="shared" si="4"/>
        <v>5211</v>
      </c>
      <c r="G40" s="14">
        <v>376</v>
      </c>
    </row>
    <row r="41" spans="1:7" ht="12.75">
      <c r="A41" s="20">
        <f t="shared" si="1"/>
        <v>43029</v>
      </c>
      <c r="B41" s="14">
        <v>243196995</v>
      </c>
      <c r="C41" s="14">
        <v>1866197</v>
      </c>
      <c r="D41" s="14">
        <f t="shared" si="2"/>
        <v>228808101</v>
      </c>
      <c r="E41" s="14">
        <v>12522697</v>
      </c>
      <c r="F41" s="15">
        <f t="shared" si="4"/>
        <v>5211</v>
      </c>
      <c r="G41" s="14">
        <v>343</v>
      </c>
    </row>
    <row r="42" spans="1:7" ht="12.75">
      <c r="A42" s="20">
        <f t="shared" si="1"/>
        <v>43036</v>
      </c>
      <c r="B42" s="14">
        <v>247321339</v>
      </c>
      <c r="C42" s="14">
        <v>1869618</v>
      </c>
      <c r="D42" s="14">
        <f t="shared" si="2"/>
        <v>233119670</v>
      </c>
      <c r="E42" s="14">
        <v>12332051</v>
      </c>
      <c r="F42" s="15">
        <f>37809/7</f>
        <v>5401.285714285715</v>
      </c>
      <c r="G42" s="14">
        <v>326</v>
      </c>
    </row>
    <row r="43" spans="1:7" ht="12.75">
      <c r="A43" s="20">
        <f t="shared" si="1"/>
        <v>43043</v>
      </c>
      <c r="B43" s="14">
        <v>260666080</v>
      </c>
      <c r="C43" s="14">
        <v>1506216</v>
      </c>
      <c r="D43" s="14">
        <f t="shared" si="2"/>
        <v>245592962</v>
      </c>
      <c r="E43" s="14">
        <v>13566902</v>
      </c>
      <c r="F43" s="15">
        <f>38808/7</f>
        <v>5544</v>
      </c>
      <c r="G43" s="14">
        <v>350</v>
      </c>
    </row>
    <row r="44" spans="1:7" ht="12.75">
      <c r="A44" s="20">
        <f t="shared" si="1"/>
        <v>43050</v>
      </c>
      <c r="B44" s="14">
        <v>246853222</v>
      </c>
      <c r="C44" s="14">
        <f>1693850-31599</f>
        <v>1662251</v>
      </c>
      <c r="D44" s="14">
        <f t="shared" si="2"/>
        <v>232731447</v>
      </c>
      <c r="E44" s="14">
        <v>12459524</v>
      </c>
      <c r="F44" s="15">
        <f>38808/7</f>
        <v>5544</v>
      </c>
      <c r="G44" s="14">
        <v>321</v>
      </c>
    </row>
    <row r="45" spans="1:7" ht="12.75">
      <c r="A45" s="20">
        <f t="shared" si="1"/>
        <v>43057</v>
      </c>
      <c r="B45" s="14">
        <v>246682570</v>
      </c>
      <c r="C45" s="14">
        <v>1699323</v>
      </c>
      <c r="D45" s="14">
        <f t="shared" si="2"/>
        <v>232704364</v>
      </c>
      <c r="E45" s="14">
        <v>12278883</v>
      </c>
      <c r="F45" s="15">
        <f>38820/7</f>
        <v>5545.714285714285</v>
      </c>
      <c r="G45" s="14">
        <v>316</v>
      </c>
    </row>
    <row r="46" spans="1:7" ht="12.75">
      <c r="A46" s="20">
        <f t="shared" si="1"/>
        <v>43064</v>
      </c>
      <c r="B46" s="14">
        <v>262862803</v>
      </c>
      <c r="C46" s="14">
        <v>1862032</v>
      </c>
      <c r="D46" s="14">
        <f t="shared" si="2"/>
        <v>248011664</v>
      </c>
      <c r="E46" s="14">
        <v>12989107</v>
      </c>
      <c r="F46" s="15">
        <f>38850/7</f>
        <v>5550</v>
      </c>
      <c r="G46" s="14">
        <v>334</v>
      </c>
    </row>
    <row r="47" spans="1:7" ht="12.75">
      <c r="A47" s="20">
        <f t="shared" si="1"/>
        <v>43071</v>
      </c>
      <c r="B47" s="14">
        <v>253837185</v>
      </c>
      <c r="C47" s="14">
        <v>1889827</v>
      </c>
      <c r="D47" s="14">
        <f t="shared" si="2"/>
        <v>238742567</v>
      </c>
      <c r="E47" s="14">
        <v>13204791</v>
      </c>
      <c r="F47" s="15">
        <f>38850/7</f>
        <v>5550</v>
      </c>
      <c r="G47" s="14">
        <v>340</v>
      </c>
    </row>
    <row r="48" spans="1:7" ht="12.75">
      <c r="A48" s="20">
        <f t="shared" si="1"/>
        <v>43078</v>
      </c>
      <c r="B48" s="14">
        <v>229507498</v>
      </c>
      <c r="C48" s="14">
        <f>1675974-19328</f>
        <v>1656646</v>
      </c>
      <c r="D48" s="14">
        <f t="shared" si="2"/>
        <v>215900044</v>
      </c>
      <c r="E48" s="14">
        <v>11950808</v>
      </c>
      <c r="F48" s="15">
        <f>38814/7</f>
        <v>5544.857142857143</v>
      </c>
      <c r="G48" s="14">
        <v>308</v>
      </c>
    </row>
    <row r="49" spans="1:7" ht="12.75">
      <c r="A49" s="20">
        <f t="shared" si="1"/>
        <v>43085</v>
      </c>
      <c r="B49" s="14">
        <v>226791733</v>
      </c>
      <c r="C49" s="14">
        <v>1627461</v>
      </c>
      <c r="D49" s="14">
        <f t="shared" si="2"/>
        <v>213907151</v>
      </c>
      <c r="E49" s="14">
        <v>11257121</v>
      </c>
      <c r="F49" s="15">
        <f>38808/7</f>
        <v>5544</v>
      </c>
      <c r="G49" s="14">
        <v>290</v>
      </c>
    </row>
    <row r="50" spans="1:7" ht="12.75">
      <c r="A50" s="20">
        <f t="shared" si="1"/>
        <v>43092</v>
      </c>
      <c r="B50" s="14">
        <v>248765877</v>
      </c>
      <c r="C50" s="14">
        <v>1789576</v>
      </c>
      <c r="D50" s="14">
        <f t="shared" si="2"/>
        <v>234990744</v>
      </c>
      <c r="E50" s="14">
        <v>11985557</v>
      </c>
      <c r="F50" s="15">
        <f>38900/7</f>
        <v>5557.142857142857</v>
      </c>
      <c r="G50" s="14">
        <v>308</v>
      </c>
    </row>
    <row r="51" spans="1:7" ht="12.75">
      <c r="A51" s="20">
        <f t="shared" si="1"/>
        <v>43099</v>
      </c>
      <c r="B51" s="14">
        <v>272114147</v>
      </c>
      <c r="C51" s="14">
        <v>1983553</v>
      </c>
      <c r="D51" s="14">
        <f t="shared" si="2"/>
        <v>256618488</v>
      </c>
      <c r="E51" s="14">
        <v>13512106</v>
      </c>
      <c r="F51" s="15">
        <f>39130/7</f>
        <v>5590</v>
      </c>
      <c r="G51" s="14">
        <v>345</v>
      </c>
    </row>
    <row r="52" spans="1:7" ht="12.75">
      <c r="A52" s="20">
        <f t="shared" si="1"/>
        <v>43106</v>
      </c>
      <c r="B52" s="14">
        <v>230525061</v>
      </c>
      <c r="C52" s="14">
        <v>1838354</v>
      </c>
      <c r="D52" s="14">
        <f t="shared" si="2"/>
        <v>217580268</v>
      </c>
      <c r="E52" s="14">
        <v>11106439</v>
      </c>
      <c r="F52" s="15">
        <f>39130/7</f>
        <v>5590</v>
      </c>
      <c r="G52" s="14">
        <v>284</v>
      </c>
    </row>
    <row r="53" spans="1:7" ht="12.75">
      <c r="A53" s="20">
        <f t="shared" si="1"/>
        <v>43113</v>
      </c>
      <c r="B53" s="14">
        <v>246138505</v>
      </c>
      <c r="C53" s="14">
        <f>1718970-21479</f>
        <v>1697491</v>
      </c>
      <c r="D53" s="14">
        <f t="shared" si="2"/>
        <v>232491458</v>
      </c>
      <c r="E53" s="14">
        <v>11949556</v>
      </c>
      <c r="F53" s="15">
        <f>39130/7</f>
        <v>5590</v>
      </c>
      <c r="G53" s="14">
        <v>305</v>
      </c>
    </row>
    <row r="54" spans="1:7" ht="12.75">
      <c r="A54" s="20">
        <f t="shared" si="1"/>
        <v>43120</v>
      </c>
      <c r="B54" s="14">
        <v>262679339</v>
      </c>
      <c r="C54" s="14">
        <v>1919056</v>
      </c>
      <c r="D54" s="14">
        <f t="shared" si="2"/>
        <v>247468216</v>
      </c>
      <c r="E54" s="14">
        <v>13292067</v>
      </c>
      <c r="F54" s="15">
        <f>38905/7</f>
        <v>5557.857142857143</v>
      </c>
      <c r="G54" s="14">
        <v>342</v>
      </c>
    </row>
    <row r="55" spans="1:7" ht="12.75">
      <c r="A55" s="20">
        <f t="shared" si="1"/>
        <v>43127</v>
      </c>
      <c r="B55" s="14">
        <v>260325900</v>
      </c>
      <c r="C55" s="14">
        <v>1956023</v>
      </c>
      <c r="D55" s="14">
        <f t="shared" si="2"/>
        <v>244743584</v>
      </c>
      <c r="E55" s="14">
        <v>13626293</v>
      </c>
      <c r="F55" s="15">
        <f aca="true" t="shared" si="5" ref="F55:F60">38815/7</f>
        <v>5545</v>
      </c>
      <c r="G55" s="14">
        <v>351</v>
      </c>
    </row>
    <row r="56" spans="1:7" ht="12.75">
      <c r="A56" s="20">
        <f t="shared" si="1"/>
        <v>43134</v>
      </c>
      <c r="B56" s="14">
        <v>252057859</v>
      </c>
      <c r="C56" s="14">
        <v>1873116</v>
      </c>
      <c r="D56" s="14">
        <f t="shared" si="2"/>
        <v>237617395</v>
      </c>
      <c r="E56" s="14">
        <v>12567348</v>
      </c>
      <c r="F56" s="15">
        <f t="shared" si="5"/>
        <v>5545</v>
      </c>
      <c r="G56" s="14">
        <v>324</v>
      </c>
    </row>
    <row r="57" spans="1:7" ht="12.75">
      <c r="A57" s="20">
        <f t="shared" si="1"/>
        <v>43141</v>
      </c>
      <c r="B57" s="14">
        <v>256623788</v>
      </c>
      <c r="C57" s="14">
        <v>1739576</v>
      </c>
      <c r="D57" s="14">
        <f t="shared" si="2"/>
        <v>242196678</v>
      </c>
      <c r="E57" s="14">
        <v>12687534</v>
      </c>
      <c r="F57" s="15">
        <f t="shared" si="5"/>
        <v>5545</v>
      </c>
      <c r="G57" s="14">
        <v>327</v>
      </c>
    </row>
    <row r="58" spans="1:7" ht="12.75">
      <c r="A58" s="20">
        <f t="shared" si="1"/>
        <v>43148</v>
      </c>
      <c r="B58" s="14">
        <v>263795170</v>
      </c>
      <c r="C58" s="14">
        <v>1928608</v>
      </c>
      <c r="D58" s="14">
        <f t="shared" si="2"/>
        <v>248584480</v>
      </c>
      <c r="E58" s="14">
        <v>13282082</v>
      </c>
      <c r="F58" s="15">
        <f t="shared" si="5"/>
        <v>5545</v>
      </c>
      <c r="G58" s="14">
        <v>342</v>
      </c>
    </row>
    <row r="59" spans="1:7" ht="12.75">
      <c r="A59" s="20">
        <f t="shared" si="1"/>
        <v>43155</v>
      </c>
      <c r="B59" s="14">
        <v>298953879</v>
      </c>
      <c r="C59" s="14">
        <v>2257206</v>
      </c>
      <c r="D59" s="14">
        <f t="shared" si="2"/>
        <v>280983658</v>
      </c>
      <c r="E59" s="14">
        <v>15713015</v>
      </c>
      <c r="F59" s="15">
        <f t="shared" si="5"/>
        <v>5545</v>
      </c>
      <c r="G59" s="14">
        <v>405</v>
      </c>
    </row>
    <row r="60" spans="1:7" ht="12.75">
      <c r="A60" s="20">
        <f t="shared" si="1"/>
        <v>43162</v>
      </c>
      <c r="B60" s="14">
        <v>289894450</v>
      </c>
      <c r="C60" s="14">
        <v>2117210</v>
      </c>
      <c r="D60" s="14">
        <f t="shared" si="2"/>
        <v>272989257</v>
      </c>
      <c r="E60" s="14">
        <v>14787983</v>
      </c>
      <c r="F60" s="15">
        <f t="shared" si="5"/>
        <v>5545</v>
      </c>
      <c r="G60" s="14">
        <v>381</v>
      </c>
    </row>
    <row r="61" spans="1:7" ht="12.75">
      <c r="A61" s="20">
        <f t="shared" si="1"/>
        <v>43169</v>
      </c>
      <c r="B61" s="14">
        <v>277810132</v>
      </c>
      <c r="C61" s="14">
        <v>2168995</v>
      </c>
      <c r="D61" s="14">
        <f t="shared" si="2"/>
        <v>261500182</v>
      </c>
      <c r="E61" s="14">
        <v>14140955</v>
      </c>
      <c r="F61" s="15">
        <f>38815/7</f>
        <v>5545</v>
      </c>
      <c r="G61" s="14">
        <v>364</v>
      </c>
    </row>
    <row r="62" spans="1:7" ht="12.75">
      <c r="A62" s="20">
        <f t="shared" si="1"/>
        <v>43176</v>
      </c>
      <c r="B62" s="14">
        <v>281414423.01</v>
      </c>
      <c r="C62" s="14">
        <v>2471296.13</v>
      </c>
      <c r="D62" s="14">
        <f t="shared" si="2"/>
        <v>264727798.49</v>
      </c>
      <c r="E62" s="14">
        <v>14215328.389999982</v>
      </c>
      <c r="F62" s="15">
        <f>38815/7</f>
        <v>5545</v>
      </c>
      <c r="G62" s="14">
        <v>366.2328581733861</v>
      </c>
    </row>
    <row r="63" spans="1:7" ht="12.75">
      <c r="A63" s="20">
        <f t="shared" si="1"/>
        <v>43183</v>
      </c>
      <c r="B63" s="14">
        <v>264465043</v>
      </c>
      <c r="C63" s="14">
        <f>2316704-1504</f>
        <v>2315200</v>
      </c>
      <c r="D63" s="14">
        <f t="shared" si="2"/>
        <v>248704323</v>
      </c>
      <c r="E63" s="14">
        <v>13445520</v>
      </c>
      <c r="F63" s="15">
        <f>38815/7</f>
        <v>5545</v>
      </c>
      <c r="G63" s="14">
        <v>346</v>
      </c>
    </row>
    <row r="64" ht="12.75">
      <c r="A64" s="20"/>
    </row>
    <row r="65" spans="1:7" s="19" customFormat="1" ht="13.5" thickBot="1">
      <c r="A65" s="2" t="s">
        <v>8</v>
      </c>
      <c r="B65" s="16">
        <f>SUM(B12:B64)</f>
        <v>13753742680.01</v>
      </c>
      <c r="C65" s="16">
        <f>SUM(C12:C64)</f>
        <v>107730683.78</v>
      </c>
      <c r="D65" s="16">
        <f>SUM(D12:D64)</f>
        <v>12951007526.4</v>
      </c>
      <c r="E65" s="16">
        <f>SUM(E12:E64)</f>
        <v>695004469.83</v>
      </c>
      <c r="F65" s="21">
        <f>SUM(F12:F64)/COUNT(F12:F64)</f>
        <v>5311.969780219779</v>
      </c>
      <c r="G65" s="16">
        <f>+E65/SUM(F12:F64)/7</f>
        <v>359.44348670869294</v>
      </c>
    </row>
    <row r="66" spans="1:7" ht="13.5" thickTop="1">
      <c r="A66" s="17"/>
      <c r="B66" s="18"/>
      <c r="C66" s="18"/>
      <c r="D66" s="18"/>
      <c r="E66" s="18"/>
      <c r="F66" s="19"/>
      <c r="G66" s="19"/>
    </row>
  </sheetData>
  <sheetProtection/>
  <mergeCells count="6">
    <mergeCell ref="A7:G7"/>
    <mergeCell ref="A1:G1"/>
    <mergeCell ref="A2:G2"/>
    <mergeCell ref="A3:G3"/>
    <mergeCell ref="A4:G4"/>
    <mergeCell ref="C5:D5"/>
  </mergeCells>
  <hyperlinks>
    <hyperlink ref="A4" r:id="rId1" display="www.rwnewyork.com"/>
  </hyperlinks>
  <printOptions horizontalCentered="1"/>
  <pageMargins left="0" right="0" top="0.5" bottom="0.25" header="0.5" footer="0.5"/>
  <pageSetup fitToHeight="1" fitToWidth="1" horizontalDpi="600" verticalDpi="600" orientation="portrait" scale="88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zoomScalePageLayoutView="0" workbookViewId="0" topLeftCell="A1">
      <pane ySplit="10" topLeftCell="A54" activePane="bottomLeft" state="frozen"/>
      <selection pane="topLeft" activeCell="A1" sqref="A1"/>
      <selection pane="bottomLeft" activeCell="B64" sqref="B64"/>
    </sheetView>
  </sheetViews>
  <sheetFormatPr defaultColWidth="9.140625" defaultRowHeight="12.75"/>
  <cols>
    <col min="1" max="1" width="15.7109375" style="2" customWidth="1"/>
    <col min="2" max="3" width="16.28125" style="14" customWidth="1"/>
    <col min="4" max="4" width="15.7109375" style="14" customWidth="1"/>
    <col min="5" max="5" width="15.00390625" style="14" customWidth="1"/>
    <col min="6" max="6" width="10.140625" style="15" customWidth="1"/>
    <col min="7" max="7" width="11.57421875" style="14" customWidth="1"/>
  </cols>
  <sheetData>
    <row r="1" spans="1:7" ht="26.25" customHeight="1">
      <c r="A1" s="28" t="s">
        <v>16</v>
      </c>
      <c r="B1" s="28"/>
      <c r="C1" s="28"/>
      <c r="D1" s="28"/>
      <c r="E1" s="28"/>
      <c r="F1" s="28"/>
      <c r="G1" s="28"/>
    </row>
    <row r="2" spans="1:7" ht="15">
      <c r="A2" s="29" t="s">
        <v>12</v>
      </c>
      <c r="B2" s="29"/>
      <c r="C2" s="29"/>
      <c r="D2" s="29"/>
      <c r="E2" s="29"/>
      <c r="F2" s="29"/>
      <c r="G2" s="29"/>
    </row>
    <row r="3" spans="1:7" s="1" customFormat="1" ht="15">
      <c r="A3" s="29" t="s">
        <v>13</v>
      </c>
      <c r="B3" s="29"/>
      <c r="C3" s="29"/>
      <c r="D3" s="29"/>
      <c r="E3" s="29"/>
      <c r="F3" s="29"/>
      <c r="G3" s="29"/>
    </row>
    <row r="4" spans="1:7" s="1" customFormat="1" ht="15">
      <c r="A4" s="30" t="s">
        <v>14</v>
      </c>
      <c r="B4" s="30"/>
      <c r="C4" s="30"/>
      <c r="D4" s="30"/>
      <c r="E4" s="30"/>
      <c r="F4" s="30"/>
      <c r="G4" s="30"/>
    </row>
    <row r="5" spans="1:7" s="1" customFormat="1" ht="14.25">
      <c r="A5" s="23"/>
      <c r="B5" s="22"/>
      <c r="C5" s="31" t="s">
        <v>15</v>
      </c>
      <c r="D5" s="31"/>
      <c r="E5" s="22"/>
      <c r="F5" s="22"/>
      <c r="G5" s="22"/>
    </row>
    <row r="6" spans="1:7" s="6" customFormat="1" ht="8.25" customHeight="1">
      <c r="A6" s="2"/>
      <c r="B6" s="3"/>
      <c r="C6" s="3"/>
      <c r="D6" s="3"/>
      <c r="E6" s="4"/>
      <c r="F6" s="5"/>
      <c r="G6" s="4"/>
    </row>
    <row r="7" spans="1:7" s="1" customFormat="1" ht="12" customHeight="1">
      <c r="A7" s="32" t="s">
        <v>22</v>
      </c>
      <c r="B7" s="33"/>
      <c r="C7" s="33"/>
      <c r="D7" s="33"/>
      <c r="E7" s="33"/>
      <c r="F7" s="33"/>
      <c r="G7" s="34"/>
    </row>
    <row r="8" spans="1:7" s="11" customFormat="1" ht="12.75">
      <c r="A8" s="2"/>
      <c r="B8" s="3"/>
      <c r="C8" s="3"/>
      <c r="D8" s="3"/>
      <c r="E8" s="4"/>
      <c r="F8" s="5"/>
      <c r="G8" s="4"/>
    </row>
    <row r="9" spans="1:7" s="11" customFormat="1" ht="12">
      <c r="A9" s="8"/>
      <c r="B9" s="9" t="s">
        <v>0</v>
      </c>
      <c r="C9" s="9" t="s">
        <v>11</v>
      </c>
      <c r="D9" s="9" t="s">
        <v>0</v>
      </c>
      <c r="E9" s="9"/>
      <c r="F9" s="10" t="s">
        <v>1</v>
      </c>
      <c r="G9" s="9" t="s">
        <v>2</v>
      </c>
    </row>
    <row r="10" spans="1:7" ht="12.75">
      <c r="A10" s="12" t="s">
        <v>9</v>
      </c>
      <c r="B10" s="7" t="s">
        <v>3</v>
      </c>
      <c r="C10" s="7" t="s">
        <v>18</v>
      </c>
      <c r="D10" s="7" t="s">
        <v>4</v>
      </c>
      <c r="E10" s="7" t="s">
        <v>5</v>
      </c>
      <c r="F10" s="13" t="s">
        <v>6</v>
      </c>
      <c r="G10" s="7" t="s">
        <v>7</v>
      </c>
    </row>
    <row r="12" spans="1:7" ht="12.75">
      <c r="A12" s="20">
        <v>42462</v>
      </c>
      <c r="B12" s="14">
        <v>425598771</v>
      </c>
      <c r="C12" s="14">
        <v>1487505.25</v>
      </c>
      <c r="D12" s="14">
        <f aca="true" t="shared" si="0" ref="D12:D33">B12-C12-E12</f>
        <v>405459952.75</v>
      </c>
      <c r="E12" s="14">
        <v>18651313</v>
      </c>
      <c r="F12" s="15">
        <f>38829/7</f>
        <v>5547</v>
      </c>
      <c r="G12" s="14">
        <v>480</v>
      </c>
    </row>
    <row r="13" spans="1:7" ht="12.75">
      <c r="A13" s="20">
        <f aca="true" t="shared" si="1" ref="A13:A63">+A12+7</f>
        <v>42469</v>
      </c>
      <c r="B13" s="14">
        <v>420882442</v>
      </c>
      <c r="C13" s="14">
        <v>1476649.67</v>
      </c>
      <c r="D13" s="14">
        <f t="shared" si="0"/>
        <v>401040137.33</v>
      </c>
      <c r="E13" s="14">
        <v>18365655</v>
      </c>
      <c r="F13" s="15">
        <f>38817/7</f>
        <v>5545.285714285715</v>
      </c>
      <c r="G13" s="14">
        <v>473</v>
      </c>
    </row>
    <row r="14" spans="1:7" ht="12.75">
      <c r="A14" s="20">
        <f t="shared" si="1"/>
        <v>42476</v>
      </c>
      <c r="B14" s="14">
        <v>424168027</v>
      </c>
      <c r="C14" s="14">
        <v>1324458.79</v>
      </c>
      <c r="D14" s="14">
        <f t="shared" si="0"/>
        <v>404584639.21</v>
      </c>
      <c r="E14" s="14">
        <v>18258929</v>
      </c>
      <c r="F14" s="15">
        <f aca="true" t="shared" si="2" ref="F14:F19">38801/7</f>
        <v>5543</v>
      </c>
      <c r="G14" s="14">
        <v>471</v>
      </c>
    </row>
    <row r="15" spans="1:7" ht="12.75">
      <c r="A15" s="20">
        <f t="shared" si="1"/>
        <v>42483</v>
      </c>
      <c r="B15" s="14">
        <v>408864953</v>
      </c>
      <c r="C15" s="14">
        <f>1263408.88-200</f>
        <v>1263208.88</v>
      </c>
      <c r="D15" s="14">
        <f t="shared" si="0"/>
        <v>390791907.12</v>
      </c>
      <c r="E15" s="14">
        <v>16809837</v>
      </c>
      <c r="F15" s="15">
        <f t="shared" si="2"/>
        <v>5543</v>
      </c>
      <c r="G15" s="14">
        <v>433</v>
      </c>
    </row>
    <row r="16" spans="1:7" ht="12.75">
      <c r="A16" s="20">
        <f t="shared" si="1"/>
        <v>42490</v>
      </c>
      <c r="B16" s="14">
        <v>406426901</v>
      </c>
      <c r="C16" s="14">
        <v>1331434.14</v>
      </c>
      <c r="D16" s="14">
        <f t="shared" si="0"/>
        <v>386753884.86</v>
      </c>
      <c r="E16" s="14">
        <v>18341582</v>
      </c>
      <c r="F16" s="15">
        <f t="shared" si="2"/>
        <v>5543</v>
      </c>
      <c r="G16" s="14">
        <v>473</v>
      </c>
    </row>
    <row r="17" spans="1:7" ht="12.75">
      <c r="A17" s="20">
        <f t="shared" si="1"/>
        <v>42497</v>
      </c>
      <c r="B17" s="14">
        <v>415384552</v>
      </c>
      <c r="C17" s="14">
        <v>1175056.83</v>
      </c>
      <c r="D17" s="14">
        <f t="shared" si="0"/>
        <v>397274558.17</v>
      </c>
      <c r="E17" s="14">
        <v>16934937</v>
      </c>
      <c r="F17" s="15">
        <f t="shared" si="2"/>
        <v>5543</v>
      </c>
      <c r="G17" s="14">
        <v>436</v>
      </c>
    </row>
    <row r="18" spans="1:7" ht="12.75">
      <c r="A18" s="20">
        <f t="shared" si="1"/>
        <v>42504</v>
      </c>
      <c r="B18" s="14">
        <v>380763708</v>
      </c>
      <c r="C18" s="14">
        <v>1274554.35</v>
      </c>
      <c r="D18" s="14">
        <f t="shared" si="0"/>
        <v>362806275.65</v>
      </c>
      <c r="E18" s="14">
        <v>16682878</v>
      </c>
      <c r="F18" s="15">
        <f t="shared" si="2"/>
        <v>5543</v>
      </c>
      <c r="G18" s="14">
        <v>430</v>
      </c>
    </row>
    <row r="19" spans="1:7" ht="12.75">
      <c r="A19" s="20">
        <f t="shared" si="1"/>
        <v>42511</v>
      </c>
      <c r="B19" s="14">
        <v>408498813</v>
      </c>
      <c r="C19" s="14">
        <v>1295709.19</v>
      </c>
      <c r="D19" s="14">
        <f t="shared" si="0"/>
        <v>390204719.81</v>
      </c>
      <c r="E19" s="14">
        <v>16998384</v>
      </c>
      <c r="F19" s="15">
        <f t="shared" si="2"/>
        <v>5543</v>
      </c>
      <c r="G19" s="14">
        <v>438</v>
      </c>
    </row>
    <row r="20" spans="1:7" ht="12.75">
      <c r="A20" s="20">
        <f t="shared" si="1"/>
        <v>42518</v>
      </c>
      <c r="B20" s="14">
        <v>387386002</v>
      </c>
      <c r="C20" s="14">
        <v>1257530.02</v>
      </c>
      <c r="D20" s="14">
        <f t="shared" si="0"/>
        <v>369952655.98</v>
      </c>
      <c r="E20" s="14">
        <v>16175816</v>
      </c>
      <c r="F20" s="15">
        <f>38801/7</f>
        <v>5543</v>
      </c>
      <c r="G20" s="14">
        <v>417</v>
      </c>
    </row>
    <row r="21" spans="1:7" ht="12.75">
      <c r="A21" s="20">
        <f t="shared" si="1"/>
        <v>42525</v>
      </c>
      <c r="B21" s="14">
        <v>407202590</v>
      </c>
      <c r="C21" s="14">
        <v>1534916.21</v>
      </c>
      <c r="D21" s="14">
        <f t="shared" si="0"/>
        <v>388206310.79</v>
      </c>
      <c r="E21" s="14">
        <v>17461363</v>
      </c>
      <c r="F21" s="15">
        <f>38801/7</f>
        <v>5543</v>
      </c>
      <c r="G21" s="14">
        <v>450</v>
      </c>
    </row>
    <row r="22" spans="1:7" ht="12.75">
      <c r="A22" s="20">
        <f t="shared" si="1"/>
        <v>42532</v>
      </c>
      <c r="B22" s="14">
        <v>371562790</v>
      </c>
      <c r="C22" s="14">
        <f>1764239.26-16898</f>
        <v>1747341.26</v>
      </c>
      <c r="D22" s="14">
        <f t="shared" si="0"/>
        <v>354174195.74</v>
      </c>
      <c r="E22" s="14">
        <v>15641253</v>
      </c>
      <c r="F22" s="15">
        <f>38801/7</f>
        <v>5543</v>
      </c>
      <c r="G22" s="14">
        <v>403</v>
      </c>
    </row>
    <row r="23" spans="1:7" ht="12.75">
      <c r="A23" s="20">
        <f t="shared" si="1"/>
        <v>42539</v>
      </c>
      <c r="B23" s="14">
        <v>385410111</v>
      </c>
      <c r="C23" s="14">
        <v>1842754.05</v>
      </c>
      <c r="D23" s="14">
        <f t="shared" si="0"/>
        <v>368015206.95</v>
      </c>
      <c r="E23" s="14">
        <v>15552150</v>
      </c>
      <c r="F23" s="15">
        <f>38811/7</f>
        <v>5544.428571428572</v>
      </c>
      <c r="G23" s="14">
        <v>401</v>
      </c>
    </row>
    <row r="24" spans="1:7" ht="12.75">
      <c r="A24" s="20">
        <f t="shared" si="1"/>
        <v>42546</v>
      </c>
      <c r="B24" s="14">
        <v>365409003</v>
      </c>
      <c r="C24" s="14">
        <v>1900106.39</v>
      </c>
      <c r="D24" s="14">
        <f t="shared" si="0"/>
        <v>347778599.61</v>
      </c>
      <c r="E24" s="14">
        <v>15730297</v>
      </c>
      <c r="F24" s="15">
        <f aca="true" t="shared" si="3" ref="F24:F29">38815/7</f>
        <v>5545</v>
      </c>
      <c r="G24" s="14">
        <v>405</v>
      </c>
    </row>
    <row r="25" spans="1:7" ht="12.75">
      <c r="A25" s="20">
        <f t="shared" si="1"/>
        <v>42553</v>
      </c>
      <c r="B25" s="14">
        <v>373030244</v>
      </c>
      <c r="C25" s="14">
        <v>2086959.82</v>
      </c>
      <c r="D25" s="14">
        <f t="shared" si="0"/>
        <v>354603209.18</v>
      </c>
      <c r="E25" s="14">
        <v>16340075</v>
      </c>
      <c r="F25" s="15">
        <f t="shared" si="3"/>
        <v>5545</v>
      </c>
      <c r="G25" s="14">
        <v>421</v>
      </c>
    </row>
    <row r="26" spans="1:7" ht="12.75">
      <c r="A26" s="20">
        <f t="shared" si="1"/>
        <v>42560</v>
      </c>
      <c r="B26" s="14">
        <v>397639313</v>
      </c>
      <c r="C26" s="14">
        <f>1623593.19-19477</f>
        <v>1604116.19</v>
      </c>
      <c r="D26" s="14">
        <f t="shared" si="0"/>
        <v>378381111.81</v>
      </c>
      <c r="E26" s="14">
        <v>17654085</v>
      </c>
      <c r="F26" s="15">
        <f t="shared" si="3"/>
        <v>5545</v>
      </c>
      <c r="G26" s="14">
        <v>455</v>
      </c>
    </row>
    <row r="27" spans="1:7" ht="12.75">
      <c r="A27" s="20">
        <f t="shared" si="1"/>
        <v>42567</v>
      </c>
      <c r="B27" s="14">
        <v>377157303</v>
      </c>
      <c r="C27" s="14">
        <v>1572145.2</v>
      </c>
      <c r="D27" s="14">
        <f t="shared" si="0"/>
        <v>359020081.8</v>
      </c>
      <c r="E27" s="14">
        <v>16565076</v>
      </c>
      <c r="F27" s="15">
        <f t="shared" si="3"/>
        <v>5545</v>
      </c>
      <c r="G27" s="14">
        <v>427</v>
      </c>
    </row>
    <row r="28" spans="1:7" ht="12.75">
      <c r="A28" s="20">
        <f t="shared" si="1"/>
        <v>42574</v>
      </c>
      <c r="B28" s="14">
        <v>372815444</v>
      </c>
      <c r="C28" s="14">
        <v>1619998.94</v>
      </c>
      <c r="D28" s="14">
        <f t="shared" si="0"/>
        <v>355171043.06</v>
      </c>
      <c r="E28" s="14">
        <v>16024402</v>
      </c>
      <c r="F28" s="15">
        <f t="shared" si="3"/>
        <v>5545</v>
      </c>
      <c r="G28" s="14">
        <v>413</v>
      </c>
    </row>
    <row r="29" spans="1:7" ht="12.75">
      <c r="A29" s="20">
        <f t="shared" si="1"/>
        <v>42581</v>
      </c>
      <c r="B29" s="14">
        <v>369537987</v>
      </c>
      <c r="C29" s="14">
        <f>1572573.76-9790</f>
        <v>1562783.76</v>
      </c>
      <c r="D29" s="14">
        <f t="shared" si="0"/>
        <v>351995153.24</v>
      </c>
      <c r="E29" s="14">
        <v>15980050</v>
      </c>
      <c r="F29" s="15">
        <f t="shared" si="3"/>
        <v>5545</v>
      </c>
      <c r="G29" s="14">
        <v>412</v>
      </c>
    </row>
    <row r="30" spans="1:7" ht="12.75">
      <c r="A30" s="20">
        <f t="shared" si="1"/>
        <v>42588</v>
      </c>
      <c r="B30" s="14">
        <v>381415275</v>
      </c>
      <c r="C30" s="14">
        <v>1770859.09</v>
      </c>
      <c r="D30" s="14">
        <f t="shared" si="0"/>
        <v>362734789.91</v>
      </c>
      <c r="E30" s="14">
        <v>16909626</v>
      </c>
      <c r="F30" s="15">
        <f>38815/7</f>
        <v>5545</v>
      </c>
      <c r="G30" s="14">
        <v>436</v>
      </c>
    </row>
    <row r="31" spans="1:7" ht="12.75">
      <c r="A31" s="20">
        <f t="shared" si="1"/>
        <v>42595</v>
      </c>
      <c r="B31" s="14">
        <v>370021433</v>
      </c>
      <c r="C31" s="14">
        <v>1963193.75</v>
      </c>
      <c r="D31" s="14">
        <f t="shared" si="0"/>
        <v>351726352.25</v>
      </c>
      <c r="E31" s="14">
        <v>16331887</v>
      </c>
      <c r="F31" s="15">
        <f>38815/7</f>
        <v>5545</v>
      </c>
      <c r="G31" s="14">
        <v>421</v>
      </c>
    </row>
    <row r="32" spans="1:7" ht="12.75">
      <c r="A32" s="20">
        <f t="shared" si="1"/>
        <v>42602</v>
      </c>
      <c r="B32" s="14">
        <v>369300137</v>
      </c>
      <c r="C32" s="14">
        <v>1783245.89</v>
      </c>
      <c r="D32" s="14">
        <f t="shared" si="0"/>
        <v>351704855.11</v>
      </c>
      <c r="E32" s="14">
        <v>15812036</v>
      </c>
      <c r="F32" s="15">
        <v>5545</v>
      </c>
      <c r="G32" s="14">
        <v>407</v>
      </c>
    </row>
    <row r="33" spans="1:7" ht="12.75">
      <c r="A33" s="20">
        <f t="shared" si="1"/>
        <v>42609</v>
      </c>
      <c r="B33" s="14">
        <v>366823324</v>
      </c>
      <c r="C33" s="14">
        <v>1843975.84</v>
      </c>
      <c r="D33" s="14">
        <f t="shared" si="0"/>
        <v>348712911.16</v>
      </c>
      <c r="E33" s="14">
        <v>16266437</v>
      </c>
      <c r="F33" s="15">
        <f aca="true" t="shared" si="4" ref="F33:F38">38815/7</f>
        <v>5545</v>
      </c>
      <c r="G33" s="14">
        <v>419</v>
      </c>
    </row>
    <row r="34" spans="1:7" ht="12.75">
      <c r="A34" s="20">
        <f t="shared" si="1"/>
        <v>42616</v>
      </c>
      <c r="B34" s="14">
        <v>367659687</v>
      </c>
      <c r="C34" s="14">
        <v>1884927.8</v>
      </c>
      <c r="D34" s="14">
        <f aca="true" t="shared" si="5" ref="D34:D63">B34-C34-E34</f>
        <v>350282575.2</v>
      </c>
      <c r="E34" s="14">
        <v>15492184</v>
      </c>
      <c r="F34" s="15">
        <f t="shared" si="4"/>
        <v>5545</v>
      </c>
      <c r="G34" s="14">
        <v>399</v>
      </c>
    </row>
    <row r="35" spans="1:7" ht="12.75">
      <c r="A35" s="20">
        <f t="shared" si="1"/>
        <v>42623</v>
      </c>
      <c r="B35" s="14">
        <v>406938181</v>
      </c>
      <c r="C35" s="14">
        <v>2070325.51</v>
      </c>
      <c r="D35" s="14">
        <f t="shared" si="5"/>
        <v>388190946.49</v>
      </c>
      <c r="E35" s="14">
        <v>16676909</v>
      </c>
      <c r="F35" s="15">
        <f t="shared" si="4"/>
        <v>5545</v>
      </c>
      <c r="G35" s="14">
        <v>430</v>
      </c>
    </row>
    <row r="36" spans="1:7" ht="12.75">
      <c r="A36" s="20">
        <f t="shared" si="1"/>
        <v>42630</v>
      </c>
      <c r="B36" s="14">
        <v>369436155</v>
      </c>
      <c r="C36" s="14">
        <f>1893725.97-380</f>
        <v>1893345.97</v>
      </c>
      <c r="D36" s="14">
        <f t="shared" si="5"/>
        <v>351492154.03</v>
      </c>
      <c r="E36" s="14">
        <v>16050655</v>
      </c>
      <c r="F36" s="15">
        <f t="shared" si="4"/>
        <v>5545</v>
      </c>
      <c r="G36" s="14">
        <v>414</v>
      </c>
    </row>
    <row r="37" spans="1:7" ht="12.75">
      <c r="A37" s="20">
        <f t="shared" si="1"/>
        <v>42637</v>
      </c>
      <c r="B37" s="14">
        <v>370020108</v>
      </c>
      <c r="C37" s="14">
        <v>1953497.15</v>
      </c>
      <c r="D37" s="14">
        <f t="shared" si="5"/>
        <v>352684139.85</v>
      </c>
      <c r="E37" s="14">
        <v>15382471</v>
      </c>
      <c r="F37" s="15">
        <f t="shared" si="4"/>
        <v>5545</v>
      </c>
      <c r="G37" s="14">
        <v>396</v>
      </c>
    </row>
    <row r="38" spans="1:7" ht="12.75">
      <c r="A38" s="20">
        <f t="shared" si="1"/>
        <v>42644</v>
      </c>
      <c r="B38" s="14">
        <v>367607173</v>
      </c>
      <c r="C38" s="14">
        <v>2025990.81</v>
      </c>
      <c r="D38" s="14">
        <f t="shared" si="5"/>
        <v>350647952.19</v>
      </c>
      <c r="E38" s="14">
        <v>14933230</v>
      </c>
      <c r="F38" s="24">
        <f t="shared" si="4"/>
        <v>5545</v>
      </c>
      <c r="G38" s="14">
        <v>385</v>
      </c>
    </row>
    <row r="39" spans="1:7" ht="12.75">
      <c r="A39" s="20">
        <f t="shared" si="1"/>
        <v>42651</v>
      </c>
      <c r="B39" s="14">
        <v>386791535</v>
      </c>
      <c r="C39" s="14">
        <v>1944106.03</v>
      </c>
      <c r="D39" s="14">
        <f t="shared" si="5"/>
        <v>368507838.97</v>
      </c>
      <c r="E39" s="14">
        <v>16339590</v>
      </c>
      <c r="F39" s="15">
        <f>38815/7</f>
        <v>5545</v>
      </c>
      <c r="G39" s="14">
        <v>421</v>
      </c>
    </row>
    <row r="40" spans="1:7" ht="12.75">
      <c r="A40" s="20">
        <f t="shared" si="1"/>
        <v>42658</v>
      </c>
      <c r="B40" s="14">
        <f>312036283.51+45802610.58</f>
        <v>357838894.09</v>
      </c>
      <c r="C40" s="14">
        <f>1670281.79+307606.78</f>
        <v>1977888.57</v>
      </c>
      <c r="D40" s="14">
        <f>B40-C40-E40</f>
        <v>340340257.96999997</v>
      </c>
      <c r="E40" s="14">
        <f>12990734.67+2530012.88</f>
        <v>15520747.55</v>
      </c>
      <c r="F40" s="15">
        <f>38365/7</f>
        <v>5480.714285714285</v>
      </c>
      <c r="G40" s="14">
        <f aca="true" t="shared" si="6" ref="G40:G45">+E40/F40/7</f>
        <v>404.5548690212434</v>
      </c>
    </row>
    <row r="41" spans="1:7" ht="12.75">
      <c r="A41" s="20">
        <f t="shared" si="1"/>
        <v>42665</v>
      </c>
      <c r="B41" s="14">
        <v>257017431.89</v>
      </c>
      <c r="C41" s="14">
        <v>1997060.77</v>
      </c>
      <c r="D41" s="14">
        <f>B41-C41-E41</f>
        <v>241887066.22999996</v>
      </c>
      <c r="E41" s="14">
        <v>13133304.89</v>
      </c>
      <c r="F41" s="15">
        <v>5090</v>
      </c>
      <c r="G41" s="14">
        <f t="shared" si="6"/>
        <v>368.6024386752737</v>
      </c>
    </row>
    <row r="42" spans="1:7" ht="12.75">
      <c r="A42" s="20">
        <f t="shared" si="1"/>
        <v>42672</v>
      </c>
      <c r="B42" s="14">
        <v>255907571.45</v>
      </c>
      <c r="C42" s="14">
        <v>2002691.84</v>
      </c>
      <c r="D42" s="14">
        <f>B42-C42-E42</f>
        <v>242077821.73999998</v>
      </c>
      <c r="E42" s="14">
        <v>11827057.87</v>
      </c>
      <c r="F42" s="15">
        <v>5090</v>
      </c>
      <c r="G42" s="14">
        <f t="shared" si="6"/>
        <v>331.9410011226494</v>
      </c>
    </row>
    <row r="43" spans="1:7" ht="12.75">
      <c r="A43" s="20">
        <f t="shared" si="1"/>
        <v>42679</v>
      </c>
      <c r="B43" s="14">
        <v>268139986.03</v>
      </c>
      <c r="C43" s="14">
        <v>1579224.37</v>
      </c>
      <c r="D43" s="14">
        <f>B43-C43-E43</f>
        <v>252391871.69</v>
      </c>
      <c r="E43" s="14">
        <v>14168889.97</v>
      </c>
      <c r="F43" s="15">
        <v>5090</v>
      </c>
      <c r="G43" s="14">
        <f t="shared" si="6"/>
        <v>397.6674142576481</v>
      </c>
    </row>
    <row r="44" spans="1:7" ht="12.75">
      <c r="A44" s="20">
        <f t="shared" si="1"/>
        <v>42686</v>
      </c>
      <c r="B44" s="14">
        <v>248700653.05</v>
      </c>
      <c r="C44" s="14">
        <v>1281376.78</v>
      </c>
      <c r="D44" s="14">
        <f>B44-C44-E44</f>
        <v>234411965.24</v>
      </c>
      <c r="E44" s="14">
        <v>13007311.03</v>
      </c>
      <c r="F44" s="15">
        <v>5090</v>
      </c>
      <c r="G44" s="14">
        <f t="shared" si="6"/>
        <v>365.06626522593314</v>
      </c>
    </row>
    <row r="45" spans="1:7" ht="12.75">
      <c r="A45" s="20">
        <f t="shared" si="1"/>
        <v>42693</v>
      </c>
      <c r="B45" s="14">
        <v>250185356.32</v>
      </c>
      <c r="C45" s="14">
        <v>1536987.32</v>
      </c>
      <c r="D45" s="14">
        <f t="shared" si="5"/>
        <v>236210686.34</v>
      </c>
      <c r="E45" s="14">
        <v>12437682.66</v>
      </c>
      <c r="F45" s="15">
        <v>5090</v>
      </c>
      <c r="G45" s="14">
        <f t="shared" si="6"/>
        <v>349.07894078024134</v>
      </c>
    </row>
    <row r="46" spans="1:7" ht="12.75">
      <c r="A46" s="20">
        <f t="shared" si="1"/>
        <v>42700</v>
      </c>
      <c r="B46" s="14">
        <v>261398649</v>
      </c>
      <c r="C46" s="14">
        <v>1556917.93</v>
      </c>
      <c r="D46" s="14">
        <f t="shared" si="5"/>
        <v>247242777.07</v>
      </c>
      <c r="E46" s="14">
        <v>12598954</v>
      </c>
      <c r="F46" s="15">
        <f>35630/7</f>
        <v>5090</v>
      </c>
      <c r="G46" s="14">
        <v>354</v>
      </c>
    </row>
    <row r="47" spans="1:7" ht="12.75">
      <c r="A47" s="20">
        <f t="shared" si="1"/>
        <v>42707</v>
      </c>
      <c r="B47" s="14">
        <v>250120830</v>
      </c>
      <c r="C47" s="14">
        <f>1631055.06-1040</f>
        <v>1630015.06</v>
      </c>
      <c r="D47" s="14">
        <f t="shared" si="5"/>
        <v>235753752.94</v>
      </c>
      <c r="E47" s="14">
        <v>12737062</v>
      </c>
      <c r="F47" s="15">
        <f>35630/7</f>
        <v>5090</v>
      </c>
      <c r="G47" s="14">
        <v>357</v>
      </c>
    </row>
    <row r="48" spans="1:7" ht="12.75">
      <c r="A48" s="20">
        <f t="shared" si="1"/>
        <v>42714</v>
      </c>
      <c r="B48" s="14">
        <v>234923604</v>
      </c>
      <c r="C48" s="14">
        <v>1122551.36</v>
      </c>
      <c r="D48" s="14">
        <f t="shared" si="5"/>
        <v>221466212.64</v>
      </c>
      <c r="E48" s="14">
        <v>12334840</v>
      </c>
      <c r="F48" s="15">
        <f>35630/7</f>
        <v>5090</v>
      </c>
      <c r="G48" s="14">
        <v>346</v>
      </c>
    </row>
    <row r="49" spans="1:7" ht="12.75">
      <c r="A49" s="20">
        <f t="shared" si="1"/>
        <v>42721</v>
      </c>
      <c r="B49" s="14">
        <v>219720608</v>
      </c>
      <c r="C49" s="14">
        <v>976930.07</v>
      </c>
      <c r="D49" s="14">
        <f t="shared" si="5"/>
        <v>207317490.93</v>
      </c>
      <c r="E49" s="14">
        <v>11426187</v>
      </c>
      <c r="F49" s="15">
        <f>35525/7</f>
        <v>5075</v>
      </c>
      <c r="G49" s="14">
        <v>322</v>
      </c>
    </row>
    <row r="50" spans="1:7" ht="12.75">
      <c r="A50" s="20">
        <f t="shared" si="1"/>
        <v>42728</v>
      </c>
      <c r="B50" s="14">
        <v>233495041</v>
      </c>
      <c r="C50" s="14">
        <f>987981.47-18751</f>
        <v>969230.47</v>
      </c>
      <c r="D50" s="14">
        <f t="shared" si="5"/>
        <v>220615667.53</v>
      </c>
      <c r="E50" s="14">
        <v>11910143</v>
      </c>
      <c r="F50" s="15">
        <f>35455/7</f>
        <v>5065</v>
      </c>
      <c r="G50" s="14">
        <v>336</v>
      </c>
    </row>
    <row r="51" spans="1:7" ht="12.75">
      <c r="A51" s="20">
        <f t="shared" si="1"/>
        <v>42735</v>
      </c>
      <c r="B51" s="14">
        <v>289063871</v>
      </c>
      <c r="C51" s="14">
        <v>1751371.41</v>
      </c>
      <c r="D51" s="14">
        <f t="shared" si="5"/>
        <v>272034973.59</v>
      </c>
      <c r="E51" s="14">
        <v>15277526</v>
      </c>
      <c r="F51" s="15">
        <f>35651/7</f>
        <v>5093</v>
      </c>
      <c r="G51" s="14">
        <v>429</v>
      </c>
    </row>
    <row r="52" spans="1:7" ht="12.75">
      <c r="A52" s="20">
        <f t="shared" si="1"/>
        <v>42742</v>
      </c>
      <c r="B52" s="14">
        <v>253145734</v>
      </c>
      <c r="C52" s="14">
        <v>1651703.93</v>
      </c>
      <c r="D52" s="14">
        <f t="shared" si="5"/>
        <v>238134087.07</v>
      </c>
      <c r="E52" s="14">
        <v>13359943</v>
      </c>
      <c r="F52" s="15">
        <f aca="true" t="shared" si="7" ref="F52:F57">35679/7</f>
        <v>5097</v>
      </c>
      <c r="G52" s="14">
        <v>375</v>
      </c>
    </row>
    <row r="53" spans="1:7" ht="12.75">
      <c r="A53" s="20">
        <f t="shared" si="1"/>
        <v>42749</v>
      </c>
      <c r="B53" s="14">
        <v>246663773</v>
      </c>
      <c r="C53" s="14">
        <v>1744023.49</v>
      </c>
      <c r="D53" s="14">
        <f t="shared" si="5"/>
        <v>231764516.51</v>
      </c>
      <c r="E53" s="14">
        <v>13155233</v>
      </c>
      <c r="F53" s="15">
        <f t="shared" si="7"/>
        <v>5097</v>
      </c>
      <c r="G53" s="14">
        <v>369</v>
      </c>
    </row>
    <row r="54" spans="1:7" ht="12.75">
      <c r="A54" s="20">
        <f t="shared" si="1"/>
        <v>42756</v>
      </c>
      <c r="B54" s="14">
        <v>258547198</v>
      </c>
      <c r="C54" s="14">
        <v>1936269.68</v>
      </c>
      <c r="D54" s="14">
        <f t="shared" si="5"/>
        <v>243110558.32</v>
      </c>
      <c r="E54" s="14">
        <v>13500370</v>
      </c>
      <c r="F54" s="15">
        <f t="shared" si="7"/>
        <v>5097</v>
      </c>
      <c r="G54" s="14">
        <v>379</v>
      </c>
    </row>
    <row r="55" spans="1:7" ht="12.75">
      <c r="A55" s="20">
        <f t="shared" si="1"/>
        <v>42763</v>
      </c>
      <c r="B55" s="14">
        <v>249211209</v>
      </c>
      <c r="C55" s="14">
        <v>1904390.23</v>
      </c>
      <c r="D55" s="14">
        <f t="shared" si="5"/>
        <v>234284441.77</v>
      </c>
      <c r="E55" s="14">
        <v>13022377</v>
      </c>
      <c r="F55" s="15">
        <f t="shared" si="7"/>
        <v>5097</v>
      </c>
      <c r="G55" s="14">
        <v>365</v>
      </c>
    </row>
    <row r="56" spans="1:7" ht="12.75">
      <c r="A56" s="20">
        <f t="shared" si="1"/>
        <v>42770</v>
      </c>
      <c r="B56" s="14">
        <v>271269849</v>
      </c>
      <c r="C56" s="14">
        <f>1975815.91-160</f>
        <v>1975655.91</v>
      </c>
      <c r="D56" s="14">
        <f t="shared" si="5"/>
        <v>255326442.08999997</v>
      </c>
      <c r="E56" s="14">
        <v>13967751</v>
      </c>
      <c r="F56" s="15">
        <f t="shared" si="7"/>
        <v>5097</v>
      </c>
      <c r="G56" s="14">
        <v>392</v>
      </c>
    </row>
    <row r="57" spans="1:7" ht="12.75">
      <c r="A57" s="20">
        <f t="shared" si="1"/>
        <v>42777</v>
      </c>
      <c r="B57" s="14">
        <v>240370101</v>
      </c>
      <c r="C57" s="14">
        <v>1742532.48</v>
      </c>
      <c r="D57" s="14">
        <f t="shared" si="5"/>
        <v>226547835.52</v>
      </c>
      <c r="E57" s="14">
        <v>12079733</v>
      </c>
      <c r="F57" s="15">
        <f t="shared" si="7"/>
        <v>5097</v>
      </c>
      <c r="G57" s="14">
        <v>339</v>
      </c>
    </row>
    <row r="58" spans="1:7" ht="12.75">
      <c r="A58" s="20">
        <f t="shared" si="1"/>
        <v>42784</v>
      </c>
      <c r="B58" s="14">
        <v>263686079</v>
      </c>
      <c r="C58" s="14">
        <v>2020543.21</v>
      </c>
      <c r="D58" s="14">
        <f t="shared" si="5"/>
        <v>247455910.79</v>
      </c>
      <c r="E58" s="14">
        <v>14209625</v>
      </c>
      <c r="F58" s="15">
        <f aca="true" t="shared" si="8" ref="F58:F63">35679/7</f>
        <v>5097</v>
      </c>
      <c r="G58" s="14">
        <v>398</v>
      </c>
    </row>
    <row r="59" spans="1:7" ht="12.75">
      <c r="A59" s="20">
        <f t="shared" si="1"/>
        <v>42791</v>
      </c>
      <c r="B59" s="14">
        <v>290930111</v>
      </c>
      <c r="C59" s="14">
        <f>2337206.74-18610</f>
        <v>2318596.74</v>
      </c>
      <c r="D59" s="14">
        <f t="shared" si="5"/>
        <v>272871573.26</v>
      </c>
      <c r="E59" s="14">
        <v>15739941</v>
      </c>
      <c r="F59" s="15">
        <f t="shared" si="8"/>
        <v>5097</v>
      </c>
      <c r="G59" s="14">
        <v>441</v>
      </c>
    </row>
    <row r="60" spans="1:7" ht="12.75">
      <c r="A60" s="20">
        <f t="shared" si="1"/>
        <v>42798</v>
      </c>
      <c r="B60" s="14">
        <v>286256025</v>
      </c>
      <c r="C60" s="14">
        <v>2100737.58</v>
      </c>
      <c r="D60" s="14">
        <f t="shared" si="5"/>
        <v>269130708.42</v>
      </c>
      <c r="E60" s="14">
        <v>15024579</v>
      </c>
      <c r="F60" s="15">
        <f t="shared" si="8"/>
        <v>5097</v>
      </c>
      <c r="G60" s="14">
        <v>421</v>
      </c>
    </row>
    <row r="61" spans="1:7" ht="12.75">
      <c r="A61" s="20">
        <f t="shared" si="1"/>
        <v>42805</v>
      </c>
      <c r="B61" s="14">
        <v>279766169</v>
      </c>
      <c r="C61" s="14">
        <v>2071224.86</v>
      </c>
      <c r="D61" s="14">
        <f t="shared" si="5"/>
        <v>263326776.14</v>
      </c>
      <c r="E61" s="14">
        <v>14368168</v>
      </c>
      <c r="F61" s="15">
        <f t="shared" si="8"/>
        <v>5097</v>
      </c>
      <c r="G61" s="14">
        <v>403</v>
      </c>
    </row>
    <row r="62" spans="1:7" ht="12.75">
      <c r="A62" s="20">
        <f t="shared" si="1"/>
        <v>42812</v>
      </c>
      <c r="B62" s="14">
        <v>246332658</v>
      </c>
      <c r="C62" s="14">
        <v>1895774.27</v>
      </c>
      <c r="D62" s="14">
        <f t="shared" si="5"/>
        <v>231704391.73</v>
      </c>
      <c r="E62" s="14">
        <v>12732492</v>
      </c>
      <c r="F62" s="15">
        <f t="shared" si="8"/>
        <v>5097</v>
      </c>
      <c r="G62" s="14">
        <v>357</v>
      </c>
    </row>
    <row r="63" spans="1:7" ht="12.75">
      <c r="A63" s="20">
        <f t="shared" si="1"/>
        <v>42819</v>
      </c>
      <c r="B63" s="14">
        <v>282041737</v>
      </c>
      <c r="C63" s="14">
        <v>2253155.96</v>
      </c>
      <c r="D63" s="14">
        <f t="shared" si="5"/>
        <v>265139514.04000002</v>
      </c>
      <c r="E63" s="14">
        <v>14649067</v>
      </c>
      <c r="F63" s="15">
        <f t="shared" si="8"/>
        <v>5097</v>
      </c>
      <c r="G63" s="14">
        <v>411</v>
      </c>
    </row>
    <row r="64" ht="12.75">
      <c r="A64" s="20"/>
    </row>
    <row r="65" ht="12.75">
      <c r="A65" s="20"/>
    </row>
    <row r="66" spans="1:7" s="19" customFormat="1" ht="13.5" thickBot="1">
      <c r="A66" s="2" t="s">
        <v>8</v>
      </c>
      <c r="B66" s="16">
        <f>SUM(B12:B64)</f>
        <v>17148485100.83</v>
      </c>
      <c r="C66" s="16">
        <f>SUM(C12:C64)</f>
        <v>88487551.07</v>
      </c>
      <c r="D66" s="16">
        <f>SUM(D12:D64)</f>
        <v>16273445457.790003</v>
      </c>
      <c r="E66" s="16">
        <f>SUM(E12:E64)</f>
        <v>786552091.97</v>
      </c>
      <c r="F66" s="21">
        <f>SUM(F12:F65)/COUNT(F12:F65)</f>
        <v>5343.104395604395</v>
      </c>
      <c r="G66" s="16">
        <f>+E66/SUM(F12:F65)/7</f>
        <v>404.41983452534595</v>
      </c>
    </row>
    <row r="67" spans="1:7" ht="13.5" thickTop="1">
      <c r="A67" s="17"/>
      <c r="B67" s="18"/>
      <c r="C67" s="18"/>
      <c r="D67" s="18"/>
      <c r="E67" s="18"/>
      <c r="F67" s="19"/>
      <c r="G67" s="19"/>
    </row>
  </sheetData>
  <sheetProtection/>
  <mergeCells count="6">
    <mergeCell ref="A7:G7"/>
    <mergeCell ref="A1:G1"/>
    <mergeCell ref="A2:G2"/>
    <mergeCell ref="A3:G3"/>
    <mergeCell ref="A4:G4"/>
    <mergeCell ref="C5:D5"/>
  </mergeCells>
  <hyperlinks>
    <hyperlink ref="A4" r:id="rId1" display="www.rwnewyork.com"/>
  </hyperlinks>
  <printOptions horizontalCentered="1"/>
  <pageMargins left="0" right="0" top="0.5" bottom="0.25" header="0.5" footer="0.5"/>
  <pageSetup fitToHeight="1" fitToWidth="1" horizontalDpi="600" verticalDpi="600" orientation="portrait" scale="8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State Lottery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Roddy</dc:creator>
  <cp:keywords/>
  <dc:description/>
  <cp:lastModifiedBy>Becker, Tammy (GAMING)</cp:lastModifiedBy>
  <cp:lastPrinted>2024-07-31T19:22:40Z</cp:lastPrinted>
  <dcterms:created xsi:type="dcterms:W3CDTF">2007-10-10T21:03:54Z</dcterms:created>
  <dcterms:modified xsi:type="dcterms:W3CDTF">2024-08-06T16:16:25Z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